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10" windowWidth="15590" windowHeight="6830" tabRatio="458" firstSheet="7" activeTab="8"/>
  </bookViews>
  <sheets>
    <sheet name="Top Sheet" sheetId="9" r:id="rId1"/>
    <sheet name="Summary New Year" sheetId="20" r:id="rId2"/>
    <sheet name="Annual Report" sheetId="35" r:id="rId3"/>
    <sheet name="New Year-Full Year" sheetId="1" r:id="rId4"/>
    <sheet name="Analysis of Rates" sheetId="36" state="hidden" r:id="rId5"/>
    <sheet name="Pastor" sheetId="21" r:id="rId6"/>
    <sheet name="Comparison" sheetId="32" state="hidden" r:id="rId7"/>
    <sheet name="Assoc. Pastor" sheetId="29" r:id="rId8"/>
    <sheet name="2023 Est-P Kelly" sheetId="37" r:id="rId9"/>
    <sheet name="Band and Other Music" sheetId="22" r:id="rId10"/>
    <sheet name="Rates for Cheryl" sheetId="24" r:id="rId11"/>
    <sheet name="Pie Chart" sheetId="27" state="hidden" r:id="rId12"/>
    <sheet name="Expenses" sheetId="28" state="hidden" r:id="rId13"/>
    <sheet name="Benevolence" sheetId="31" state="hidden" r:id="rId14"/>
    <sheet name="Dec Council Meeting" sheetId="34" state="hidden" r:id="rId15"/>
    <sheet name="Options" sheetId="33" r:id="rId16"/>
  </sheets>
  <externalReferences>
    <externalReference r:id="rId17"/>
  </externalReferences>
  <definedNames>
    <definedName name="Bud_Yr">'Top Sheet'!$C$2</definedName>
    <definedName name="dddd" localSheetId="4">#REF!</definedName>
    <definedName name="dddd" localSheetId="7">#REF!</definedName>
    <definedName name="dddd">#REF!</definedName>
    <definedName name="_xlnm.Print_Titles" localSheetId="12">Expenses!$2:$4</definedName>
    <definedName name="_xlnm.Print_Titles" localSheetId="3">'New Year-Full Year'!$2:$4</definedName>
    <definedName name="_xlnm.Print_Titles" localSheetId="1">'Summary New Year'!$1:$5</definedName>
  </definedNames>
  <calcPr calcId="144525"/>
</workbook>
</file>

<file path=xl/calcChain.xml><?xml version="1.0" encoding="utf-8"?>
<calcChain xmlns="http://schemas.openxmlformats.org/spreadsheetml/2006/main">
  <c r="G6" i="37" l="1"/>
  <c r="F6" i="37"/>
  <c r="E6" i="37"/>
  <c r="D6" i="37"/>
  <c r="B6" i="37"/>
  <c r="E7" i="37" s="1"/>
  <c r="X56" i="29"/>
  <c r="U56" i="29"/>
  <c r="R56" i="29"/>
  <c r="P56" i="29"/>
  <c r="O56" i="29"/>
  <c r="X57" i="29"/>
  <c r="U57" i="29"/>
  <c r="R57" i="29"/>
  <c r="P57" i="29"/>
  <c r="O57" i="29"/>
  <c r="Y53" i="29"/>
  <c r="X53" i="29"/>
  <c r="Z51" i="29"/>
  <c r="Z47" i="29"/>
  <c r="Z53" i="29" s="1"/>
  <c r="Z42" i="29"/>
  <c r="Y42" i="29"/>
  <c r="X42" i="29"/>
  <c r="Z28" i="29"/>
  <c r="Z33" i="29" s="1"/>
  <c r="Z27" i="29"/>
  <c r="Z13" i="29" s="1"/>
  <c r="Y27" i="29"/>
  <c r="Y13" i="29" s="1"/>
  <c r="X27" i="29"/>
  <c r="Z23" i="29"/>
  <c r="Y23" i="29"/>
  <c r="Y28" i="29" s="1"/>
  <c r="Y33" i="29" s="1"/>
  <c r="X23" i="29"/>
  <c r="X28" i="29" s="1"/>
  <c r="X33" i="29" s="1"/>
  <c r="X13" i="29"/>
  <c r="X6" i="29"/>
  <c r="X11" i="29" s="1"/>
  <c r="X5" i="29"/>
  <c r="Z3" i="29"/>
  <c r="Y3" i="29"/>
  <c r="X2" i="29"/>
  <c r="V53" i="29"/>
  <c r="U53" i="29"/>
  <c r="W51" i="29"/>
  <c r="W47" i="29"/>
  <c r="W53" i="29" s="1"/>
  <c r="W42" i="29"/>
  <c r="V42" i="29"/>
  <c r="U42" i="29"/>
  <c r="W27" i="29"/>
  <c r="W13" i="29" s="1"/>
  <c r="V27" i="29"/>
  <c r="U27" i="29"/>
  <c r="W23" i="29"/>
  <c r="W28" i="29" s="1"/>
  <c r="W33" i="29" s="1"/>
  <c r="V23" i="29"/>
  <c r="V28" i="29" s="1"/>
  <c r="V33" i="29" s="1"/>
  <c r="U23" i="29"/>
  <c r="U28" i="29" s="1"/>
  <c r="U33" i="29" s="1"/>
  <c r="V13" i="29"/>
  <c r="U13" i="29"/>
  <c r="U6" i="29"/>
  <c r="U11" i="29" s="1"/>
  <c r="U5" i="29"/>
  <c r="W3" i="29"/>
  <c r="V3" i="29"/>
  <c r="U2" i="29"/>
  <c r="R2" i="29"/>
  <c r="O2" i="29"/>
  <c r="S53" i="29"/>
  <c r="R53" i="29"/>
  <c r="T51" i="29"/>
  <c r="T47" i="29"/>
  <c r="T53" i="29" s="1"/>
  <c r="T42" i="29"/>
  <c r="S42" i="29"/>
  <c r="R42" i="29"/>
  <c r="R28" i="29"/>
  <c r="R33" i="29" s="1"/>
  <c r="T27" i="29"/>
  <c r="S27" i="29"/>
  <c r="R27" i="29"/>
  <c r="T23" i="29"/>
  <c r="T28" i="29" s="1"/>
  <c r="T33" i="29" s="1"/>
  <c r="S23" i="29"/>
  <c r="S28" i="29" s="1"/>
  <c r="S33" i="29" s="1"/>
  <c r="R23" i="29"/>
  <c r="T13" i="29"/>
  <c r="S13" i="29"/>
  <c r="R13" i="29"/>
  <c r="R6" i="29"/>
  <c r="R11" i="29" s="1"/>
  <c r="R5" i="29"/>
  <c r="R4" i="29"/>
  <c r="T3" i="29"/>
  <c r="S3" i="29"/>
  <c r="O6" i="29"/>
  <c r="Q3" i="29"/>
  <c r="P3" i="29"/>
  <c r="O4" i="29"/>
  <c r="O5" i="29"/>
  <c r="P11" i="29"/>
  <c r="P15" i="29" s="1"/>
  <c r="O11" i="29"/>
  <c r="N11" i="29" s="1"/>
  <c r="Q51" i="29"/>
  <c r="Q47" i="29"/>
  <c r="P53" i="29"/>
  <c r="Q53" i="29"/>
  <c r="O53" i="29"/>
  <c r="P42" i="29"/>
  <c r="Q42" i="29"/>
  <c r="O42" i="29"/>
  <c r="P27" i="29"/>
  <c r="Q27" i="29"/>
  <c r="O27" i="29"/>
  <c r="P23" i="29"/>
  <c r="P28" i="29" s="1"/>
  <c r="P33" i="29" s="1"/>
  <c r="Q23" i="29"/>
  <c r="Q28" i="29" s="1"/>
  <c r="Q33" i="29" s="1"/>
  <c r="O23" i="29"/>
  <c r="O28" i="29" s="1"/>
  <c r="O33" i="29" s="1"/>
  <c r="P13" i="29"/>
  <c r="Q13" i="29"/>
  <c r="O13" i="29"/>
  <c r="E9" i="20"/>
  <c r="G9" i="20" s="1"/>
  <c r="F9" i="20"/>
  <c r="H9" i="20" s="1"/>
  <c r="J9" i="20"/>
  <c r="K9" i="20"/>
  <c r="L9" i="20" s="1"/>
  <c r="C9" i="20"/>
  <c r="U159" i="1"/>
  <c r="P66" i="1"/>
  <c r="P75" i="1"/>
  <c r="P136" i="1"/>
  <c r="U29" i="1"/>
  <c r="P159" i="1"/>
  <c r="F128" i="1"/>
  <c r="C14" i="24" s="1"/>
  <c r="H123" i="1"/>
  <c r="F123" i="1"/>
  <c r="V94" i="1"/>
  <c r="U94" i="1"/>
  <c r="V81" i="1"/>
  <c r="U81" i="1"/>
  <c r="U16" i="1"/>
  <c r="W9" i="1"/>
  <c r="S9" i="1"/>
  <c r="R9" i="1"/>
  <c r="C15" i="24"/>
  <c r="Q126" i="1"/>
  <c r="X129" i="1"/>
  <c r="H129" i="1"/>
  <c r="L129" i="1"/>
  <c r="B20" i="20"/>
  <c r="C24" i="20"/>
  <c r="C25" i="20"/>
  <c r="C26" i="20"/>
  <c r="C27" i="20"/>
  <c r="C28" i="20"/>
  <c r="C29" i="20"/>
  <c r="C30" i="20"/>
  <c r="C31" i="20"/>
  <c r="C23" i="20"/>
  <c r="B22" i="20"/>
  <c r="B21" i="20"/>
  <c r="E24" i="20"/>
  <c r="F24" i="20"/>
  <c r="J24" i="20"/>
  <c r="K24" i="20"/>
  <c r="E25" i="20"/>
  <c r="F25" i="20"/>
  <c r="J25" i="20"/>
  <c r="K25" i="20"/>
  <c r="E26" i="20"/>
  <c r="F26" i="20"/>
  <c r="J26" i="20"/>
  <c r="K26" i="20"/>
  <c r="E27" i="20"/>
  <c r="F27" i="20"/>
  <c r="J27" i="20"/>
  <c r="K27" i="20"/>
  <c r="E28" i="20"/>
  <c r="F28" i="20"/>
  <c r="J28" i="20"/>
  <c r="K28" i="20"/>
  <c r="E29" i="20"/>
  <c r="F29" i="20"/>
  <c r="J29" i="20"/>
  <c r="K29" i="20"/>
  <c r="E30" i="20"/>
  <c r="F30" i="20"/>
  <c r="J30" i="20"/>
  <c r="K30" i="20"/>
  <c r="E31" i="20"/>
  <c r="F31" i="20"/>
  <c r="J31" i="20"/>
  <c r="K31" i="20"/>
  <c r="K23" i="20"/>
  <c r="J23" i="20"/>
  <c r="F23" i="20"/>
  <c r="E23" i="20"/>
  <c r="I11" i="29"/>
  <c r="J11" i="29"/>
  <c r="K3" i="29" s="1"/>
  <c r="J4" i="29"/>
  <c r="J23" i="29"/>
  <c r="J28" i="29" s="1"/>
  <c r="J33" i="29" s="1"/>
  <c r="J27" i="29"/>
  <c r="J13" i="29" s="1"/>
  <c r="J42" i="29"/>
  <c r="J53" i="29"/>
  <c r="K26" i="21"/>
  <c r="Q26" i="21"/>
  <c r="V7" i="21"/>
  <c r="D6" i="24"/>
  <c r="C42" i="24"/>
  <c r="C41" i="24"/>
  <c r="C38" i="24"/>
  <c r="C37" i="24"/>
  <c r="C36" i="24"/>
  <c r="C35" i="24"/>
  <c r="C31" i="24"/>
  <c r="C26" i="24"/>
  <c r="C25" i="24"/>
  <c r="C32" i="24"/>
  <c r="C27" i="24"/>
  <c r="C28" i="24"/>
  <c r="P12" i="22"/>
  <c r="C20" i="24" s="1"/>
  <c r="P109" i="1"/>
  <c r="F127" i="1"/>
  <c r="H127" i="1" s="1"/>
  <c r="I120" i="1"/>
  <c r="E120" i="1"/>
  <c r="K11" i="21"/>
  <c r="K4" i="21" s="1"/>
  <c r="S6" i="21"/>
  <c r="T6" i="21"/>
  <c r="U6" i="21"/>
  <c r="V6" i="21"/>
  <c r="R6" i="21"/>
  <c r="D7" i="37" l="1"/>
  <c r="G7" i="37"/>
  <c r="F7" i="37"/>
  <c r="X15" i="29"/>
  <c r="Z11" i="29"/>
  <c r="Z15" i="29" s="1"/>
  <c r="X4" i="29"/>
  <c r="Y11" i="29"/>
  <c r="Y15" i="29" s="1"/>
  <c r="U15" i="29"/>
  <c r="W11" i="29"/>
  <c r="W15" i="29" s="1"/>
  <c r="U4" i="29"/>
  <c r="V11" i="29"/>
  <c r="V15" i="29" s="1"/>
  <c r="S11" i="29"/>
  <c r="S15" i="29" s="1"/>
  <c r="R15" i="29"/>
  <c r="T11" i="29"/>
  <c r="T15" i="29" s="1"/>
  <c r="S18" i="29"/>
  <c r="S19" i="29" s="1"/>
  <c r="N12" i="29"/>
  <c r="Q11" i="29"/>
  <c r="O15" i="29"/>
  <c r="O18" i="29" s="1"/>
  <c r="O19" i="29" s="1"/>
  <c r="P18" i="29"/>
  <c r="P19" i="29" s="1"/>
  <c r="H128" i="1"/>
  <c r="G28" i="20"/>
  <c r="G24" i="20"/>
  <c r="H29" i="20"/>
  <c r="H24" i="20"/>
  <c r="J32" i="20"/>
  <c r="H28" i="20"/>
  <c r="L24" i="20"/>
  <c r="L27" i="20"/>
  <c r="E32" i="20"/>
  <c r="L31" i="20"/>
  <c r="L30" i="20"/>
  <c r="L28" i="20"/>
  <c r="L23" i="20"/>
  <c r="G30" i="20"/>
  <c r="G29" i="20"/>
  <c r="H25" i="20"/>
  <c r="G26" i="20"/>
  <c r="G25" i="20"/>
  <c r="L26" i="20"/>
  <c r="H31" i="20"/>
  <c r="H30" i="20"/>
  <c r="G27" i="20"/>
  <c r="H26" i="20"/>
  <c r="K32" i="20"/>
  <c r="H23" i="20"/>
  <c r="L29" i="20"/>
  <c r="L25" i="20"/>
  <c r="F32" i="20"/>
  <c r="G31" i="20"/>
  <c r="H27" i="20"/>
  <c r="G23" i="20"/>
  <c r="I4" i="29"/>
  <c r="J15" i="29"/>
  <c r="X18" i="29" l="1"/>
  <c r="X19" i="29" s="1"/>
  <c r="Y18" i="29"/>
  <c r="Y19" i="29" s="1"/>
  <c r="Z19" i="29"/>
  <c r="Z18" i="29"/>
  <c r="W18" i="29"/>
  <c r="W19" i="29"/>
  <c r="U18" i="29"/>
  <c r="U19" i="29" s="1"/>
  <c r="V18" i="29"/>
  <c r="V19" i="29"/>
  <c r="S37" i="29"/>
  <c r="S31" i="29"/>
  <c r="S32" i="29" s="1"/>
  <c r="S34" i="29" s="1"/>
  <c r="S35" i="29" s="1"/>
  <c r="S43" i="29"/>
  <c r="S44" i="29" s="1"/>
  <c r="T18" i="29"/>
  <c r="T19" i="29" s="1"/>
  <c r="R18" i="29"/>
  <c r="R19" i="29" s="1"/>
  <c r="Q15" i="29"/>
  <c r="Q18" i="29" s="1"/>
  <c r="Q19" i="29" s="1"/>
  <c r="Q43" i="29" s="1"/>
  <c r="Q44" i="29" s="1"/>
  <c r="N13" i="29"/>
  <c r="O43" i="29"/>
  <c r="O44" i="29" s="1"/>
  <c r="O37" i="29"/>
  <c r="O31" i="29"/>
  <c r="O32" i="29" s="1"/>
  <c r="O34" i="29" s="1"/>
  <c r="O35" i="29" s="1"/>
  <c r="Q37" i="29"/>
  <c r="Q31" i="29"/>
  <c r="Q32" i="29" s="1"/>
  <c r="Q34" i="29" s="1"/>
  <c r="Q35" i="29" s="1"/>
  <c r="P43" i="29"/>
  <c r="P44" i="29" s="1"/>
  <c r="P37" i="29"/>
  <c r="P31" i="29"/>
  <c r="P32" i="29" s="1"/>
  <c r="P34" i="29" s="1"/>
  <c r="P35" i="29" s="1"/>
  <c r="J18" i="29"/>
  <c r="J19" i="29" s="1"/>
  <c r="S17" i="21"/>
  <c r="T17" i="21"/>
  <c r="U17" i="21"/>
  <c r="V17" i="21"/>
  <c r="R17" i="21"/>
  <c r="S22" i="21"/>
  <c r="T22" i="21"/>
  <c r="U22" i="21"/>
  <c r="V22" i="21"/>
  <c r="S23" i="21"/>
  <c r="T23" i="21"/>
  <c r="U23" i="21"/>
  <c r="V23" i="21"/>
  <c r="R23" i="21"/>
  <c r="R22" i="21"/>
  <c r="S28" i="21"/>
  <c r="T28" i="21"/>
  <c r="U28" i="21"/>
  <c r="V28" i="21"/>
  <c r="R28" i="21"/>
  <c r="S29" i="21"/>
  <c r="T29" i="21"/>
  <c r="U29" i="21"/>
  <c r="V29" i="21"/>
  <c r="R29" i="21"/>
  <c r="S33" i="21"/>
  <c r="T33" i="21"/>
  <c r="U33" i="21"/>
  <c r="V33" i="21"/>
  <c r="R33" i="21"/>
  <c r="S43" i="21"/>
  <c r="T43" i="21"/>
  <c r="U43" i="21"/>
  <c r="V43" i="21"/>
  <c r="S44" i="21"/>
  <c r="T44" i="21"/>
  <c r="U44" i="21"/>
  <c r="V44" i="21"/>
  <c r="R44" i="21"/>
  <c r="R43" i="21"/>
  <c r="S54" i="21"/>
  <c r="T54" i="21"/>
  <c r="U54" i="21"/>
  <c r="V54" i="21"/>
  <c r="S55" i="21"/>
  <c r="T55" i="21"/>
  <c r="U55" i="21"/>
  <c r="V55" i="21"/>
  <c r="S57" i="21"/>
  <c r="T57" i="21"/>
  <c r="U57" i="21"/>
  <c r="V57" i="21"/>
  <c r="R57" i="21"/>
  <c r="R55" i="21"/>
  <c r="R54" i="21"/>
  <c r="P111" i="1"/>
  <c r="Q111" i="1"/>
  <c r="R43" i="22"/>
  <c r="P43" i="22"/>
  <c r="P51" i="22" s="1"/>
  <c r="P36" i="22"/>
  <c r="P35" i="22"/>
  <c r="P19" i="22"/>
  <c r="P6" i="22"/>
  <c r="P14" i="22" s="1"/>
  <c r="P103" i="1"/>
  <c r="P102" i="1"/>
  <c r="P101" i="1"/>
  <c r="P100" i="1"/>
  <c r="P95" i="1"/>
  <c r="Q103" i="1"/>
  <c r="Q102" i="1"/>
  <c r="Q101" i="1"/>
  <c r="Q100" i="1"/>
  <c r="Q95" i="1"/>
  <c r="I53" i="29"/>
  <c r="I42" i="29"/>
  <c r="I27" i="29"/>
  <c r="I13" i="29" s="1"/>
  <c r="I23" i="29"/>
  <c r="I28" i="29" s="1"/>
  <c r="I33" i="29" s="1"/>
  <c r="P91" i="1"/>
  <c r="P89" i="1"/>
  <c r="P83" i="1"/>
  <c r="Q91" i="1"/>
  <c r="Q89" i="1"/>
  <c r="Q83" i="1"/>
  <c r="Q58" i="21"/>
  <c r="Q59" i="21" s="1"/>
  <c r="Q46" i="21"/>
  <c r="Q30" i="21"/>
  <c r="Q14" i="21" s="1"/>
  <c r="Q24" i="21"/>
  <c r="Q31" i="21" s="1"/>
  <c r="Q36" i="21" s="1"/>
  <c r="R11" i="21"/>
  <c r="D8" i="24"/>
  <c r="D20" i="35"/>
  <c r="D19" i="35"/>
  <c r="D18" i="35"/>
  <c r="D17" i="35"/>
  <c r="C20" i="35"/>
  <c r="C19" i="35"/>
  <c r="C18" i="35"/>
  <c r="C17" i="35"/>
  <c r="B20" i="35"/>
  <c r="B19" i="35"/>
  <c r="B18" i="35"/>
  <c r="B17" i="35"/>
  <c r="F133" i="1"/>
  <c r="E27" i="36"/>
  <c r="Y43" i="29" l="1"/>
  <c r="Y44" i="29" s="1"/>
  <c r="Y37" i="29"/>
  <c r="Y31" i="29"/>
  <c r="Y32" i="29" s="1"/>
  <c r="Y34" i="29" s="1"/>
  <c r="Y35" i="29" s="1"/>
  <c r="Z31" i="29"/>
  <c r="Z32" i="29" s="1"/>
  <c r="Z34" i="29" s="1"/>
  <c r="Z35" i="29" s="1"/>
  <c r="Z43" i="29"/>
  <c r="Z44" i="29" s="1"/>
  <c r="Z37" i="29"/>
  <c r="X31" i="29"/>
  <c r="X32" i="29" s="1"/>
  <c r="X34" i="29" s="1"/>
  <c r="X35" i="29" s="1"/>
  <c r="X43" i="29"/>
  <c r="X44" i="29" s="1"/>
  <c r="X37" i="29"/>
  <c r="X55" i="29" s="1"/>
  <c r="U31" i="29"/>
  <c r="U32" i="29" s="1"/>
  <c r="U34" i="29" s="1"/>
  <c r="U35" i="29" s="1"/>
  <c r="U37" i="29"/>
  <c r="U55" i="29" s="1"/>
  <c r="U43" i="29"/>
  <c r="U44" i="29" s="1"/>
  <c r="V37" i="29"/>
  <c r="V43" i="29"/>
  <c r="V44" i="29" s="1"/>
  <c r="V31" i="29"/>
  <c r="V32" i="29" s="1"/>
  <c r="V34" i="29" s="1"/>
  <c r="V35" i="29" s="1"/>
  <c r="W43" i="29"/>
  <c r="W44" i="29" s="1"/>
  <c r="W31" i="29"/>
  <c r="W32" i="29" s="1"/>
  <c r="W34" i="29" s="1"/>
  <c r="W35" i="29" s="1"/>
  <c r="W37" i="29"/>
  <c r="W55" i="29" s="1"/>
  <c r="S55" i="29"/>
  <c r="T43" i="29"/>
  <c r="T44" i="29" s="1"/>
  <c r="T31" i="29"/>
  <c r="T32" i="29" s="1"/>
  <c r="T34" i="29" s="1"/>
  <c r="T35" i="29" s="1"/>
  <c r="T37" i="29"/>
  <c r="T55" i="29" s="1"/>
  <c r="R31" i="29"/>
  <c r="R32" i="29" s="1"/>
  <c r="R34" i="29" s="1"/>
  <c r="R35" i="29" s="1"/>
  <c r="R37" i="29"/>
  <c r="R55" i="29" s="1"/>
  <c r="R43" i="29"/>
  <c r="R44" i="29" s="1"/>
  <c r="P55" i="29"/>
  <c r="Q55" i="29"/>
  <c r="O55" i="29"/>
  <c r="U24" i="21"/>
  <c r="U26" i="21" s="1"/>
  <c r="T30" i="21"/>
  <c r="T14" i="21" s="1"/>
  <c r="V30" i="21"/>
  <c r="V14" i="21" s="1"/>
  <c r="J37" i="29"/>
  <c r="J31" i="29"/>
  <c r="J32" i="29" s="1"/>
  <c r="J34" i="29" s="1"/>
  <c r="J35" i="29" s="1"/>
  <c r="J43" i="29"/>
  <c r="J44" i="29" s="1"/>
  <c r="V46" i="21"/>
  <c r="S24" i="21"/>
  <c r="S31" i="21" s="1"/>
  <c r="S36" i="21" s="1"/>
  <c r="T46" i="21"/>
  <c r="T24" i="21"/>
  <c r="T31" i="21" s="1"/>
  <c r="T36" i="21" s="1"/>
  <c r="S46" i="21"/>
  <c r="S58" i="21"/>
  <c r="S59" i="21" s="1"/>
  <c r="S30" i="21"/>
  <c r="S14" i="21" s="1"/>
  <c r="R58" i="21"/>
  <c r="R59" i="21" s="1"/>
  <c r="U46" i="21"/>
  <c r="V24" i="21"/>
  <c r="V26" i="21" s="1"/>
  <c r="T58" i="21"/>
  <c r="T59" i="21" s="1"/>
  <c r="U58" i="21"/>
  <c r="U59" i="21" s="1"/>
  <c r="V58" i="21"/>
  <c r="V59" i="21" s="1"/>
  <c r="U31" i="21"/>
  <c r="U36" i="21" s="1"/>
  <c r="R24" i="21"/>
  <c r="R26" i="21" s="1"/>
  <c r="U30" i="21"/>
  <c r="U14" i="21" s="1"/>
  <c r="R30" i="21"/>
  <c r="R14" i="21" s="1"/>
  <c r="R16" i="21" s="1"/>
  <c r="R46" i="21"/>
  <c r="P90" i="1"/>
  <c r="P21" i="22"/>
  <c r="P27" i="22" s="1"/>
  <c r="P54" i="22"/>
  <c r="P56" i="22" s="1"/>
  <c r="P59" i="22" s="1"/>
  <c r="P16" i="22"/>
  <c r="P20" i="22" s="1"/>
  <c r="P31" i="22"/>
  <c r="P33" i="22" s="1"/>
  <c r="P38" i="22" s="1"/>
  <c r="P41" i="22" s="1"/>
  <c r="P116" i="1" s="1"/>
  <c r="P45" i="22"/>
  <c r="P48" i="22" s="1"/>
  <c r="P52" i="22" s="1"/>
  <c r="P115" i="1" s="1"/>
  <c r="I15" i="29"/>
  <c r="T26" i="21"/>
  <c r="E30" i="36"/>
  <c r="F30" i="36" s="1"/>
  <c r="F36" i="36"/>
  <c r="F37" i="36"/>
  <c r="H36" i="36"/>
  <c r="H18" i="36"/>
  <c r="H38" i="36"/>
  <c r="H37" i="36"/>
  <c r="G37" i="36"/>
  <c r="I35" i="36"/>
  <c r="I17" i="36"/>
  <c r="G36" i="36"/>
  <c r="G38" i="36"/>
  <c r="F38" i="36" s="1"/>
  <c r="H30" i="36"/>
  <c r="G30" i="36"/>
  <c r="H27" i="36"/>
  <c r="G27" i="36"/>
  <c r="F27" i="36"/>
  <c r="F28" i="36" s="1"/>
  <c r="F29" i="36" s="1"/>
  <c r="H24" i="36"/>
  <c r="G24" i="36"/>
  <c r="F24" i="36"/>
  <c r="H21" i="36"/>
  <c r="G21" i="36"/>
  <c r="F21" i="36"/>
  <c r="G18" i="36"/>
  <c r="F18" i="36"/>
  <c r="H12" i="36"/>
  <c r="F13" i="36" s="1"/>
  <c r="F14" i="36" s="1"/>
  <c r="G12" i="36"/>
  <c r="H6" i="36"/>
  <c r="G6" i="36"/>
  <c r="C14" i="31"/>
  <c r="C13" i="31"/>
  <c r="C12" i="31"/>
  <c r="C11" i="31"/>
  <c r="C10" i="31"/>
  <c r="C9" i="31"/>
  <c r="C8" i="31"/>
  <c r="C7" i="31"/>
  <c r="C6" i="31"/>
  <c r="S56" i="29" l="1"/>
  <c r="S57" i="29"/>
  <c r="Z55" i="29"/>
  <c r="Y55" i="29"/>
  <c r="V55" i="29"/>
  <c r="S26" i="21"/>
  <c r="J55" i="29"/>
  <c r="V31" i="21"/>
  <c r="V36" i="21" s="1"/>
  <c r="R31" i="21"/>
  <c r="R36" i="21" s="1"/>
  <c r="I18" i="29"/>
  <c r="P94" i="1"/>
  <c r="P28" i="22"/>
  <c r="P29" i="22" s="1"/>
  <c r="P22" i="22"/>
  <c r="R18" i="21"/>
  <c r="R19" i="21" s="1"/>
  <c r="F6" i="36"/>
  <c r="F39" i="36"/>
  <c r="F40" i="36" s="1"/>
  <c r="G39" i="36"/>
  <c r="G40" i="36" s="1"/>
  <c r="G31" i="36"/>
  <c r="G32" i="36" s="1"/>
  <c r="F31" i="36"/>
  <c r="F32" i="36" s="1"/>
  <c r="F19" i="36"/>
  <c r="F20" i="36" s="1"/>
  <c r="G19" i="36"/>
  <c r="G20" i="36" s="1"/>
  <c r="F25" i="36"/>
  <c r="F26" i="36" s="1"/>
  <c r="G25" i="36"/>
  <c r="G26" i="36" s="1"/>
  <c r="G28" i="36"/>
  <c r="G29" i="36" s="1"/>
  <c r="F22" i="36"/>
  <c r="F23" i="36" s="1"/>
  <c r="G22" i="36"/>
  <c r="G23" i="36" s="1"/>
  <c r="G7" i="36"/>
  <c r="G8" i="36" s="1"/>
  <c r="G13" i="36"/>
  <c r="G14" i="36" s="1"/>
  <c r="C4" i="31"/>
  <c r="H11" i="34"/>
  <c r="Y56" i="29" l="1"/>
  <c r="Y57" i="29"/>
  <c r="V57" i="29"/>
  <c r="V56" i="29"/>
  <c r="I19" i="29"/>
  <c r="P96" i="1"/>
  <c r="P61" i="22"/>
  <c r="P114" i="1"/>
  <c r="R47" i="21"/>
  <c r="R50" i="21" s="1"/>
  <c r="R51" i="21" s="1"/>
  <c r="R40" i="21"/>
  <c r="R34" i="21"/>
  <c r="R35" i="21" s="1"/>
  <c r="R37" i="21" s="1"/>
  <c r="R38" i="21" s="1"/>
  <c r="F7" i="36"/>
  <c r="F8" i="36" s="1"/>
  <c r="G21" i="35"/>
  <c r="E21" i="35"/>
  <c r="E12" i="35"/>
  <c r="E14" i="35" s="1"/>
  <c r="R61" i="21" l="1"/>
  <c r="I37" i="29"/>
  <c r="P97" i="1" s="1"/>
  <c r="I43" i="29"/>
  <c r="I44" i="29" s="1"/>
  <c r="I31" i="29"/>
  <c r="I32" i="29" s="1"/>
  <c r="I34" i="29" s="1"/>
  <c r="I35" i="29" s="1"/>
  <c r="B21" i="35"/>
  <c r="E23" i="35"/>
  <c r="D21" i="35"/>
  <c r="C21" i="35"/>
  <c r="E7" i="31"/>
  <c r="D7" i="31" s="1"/>
  <c r="E8" i="31"/>
  <c r="D8" i="31" s="1"/>
  <c r="E9" i="31"/>
  <c r="D9" i="31" s="1"/>
  <c r="E10" i="31"/>
  <c r="D10" i="31" s="1"/>
  <c r="E11" i="31"/>
  <c r="D11" i="31" s="1"/>
  <c r="E12" i="31"/>
  <c r="D12" i="31" s="1"/>
  <c r="E13" i="31"/>
  <c r="D13" i="31" s="1"/>
  <c r="E14" i="31"/>
  <c r="D14" i="31" s="1"/>
  <c r="E6" i="31"/>
  <c r="D6" i="31" s="1"/>
  <c r="J13" i="34"/>
  <c r="J10" i="34"/>
  <c r="C14" i="34"/>
  <c r="E7" i="34"/>
  <c r="E13" i="34" s="1"/>
  <c r="I55" i="29" l="1"/>
  <c r="P99" i="1"/>
  <c r="D15" i="31"/>
  <c r="E11" i="34"/>
  <c r="E14" i="34" s="1"/>
  <c r="I4" i="21"/>
  <c r="I7" i="21" s="1"/>
  <c r="AH122" i="1" l="1"/>
  <c r="AI122" i="1"/>
  <c r="AJ122" i="1"/>
  <c r="AK91" i="1"/>
  <c r="J76" i="20"/>
  <c r="K76" i="20"/>
  <c r="E6" i="29"/>
  <c r="H9" i="36" l="1"/>
  <c r="F9" i="36" s="1"/>
  <c r="F42" i="36" s="1"/>
  <c r="D54" i="22"/>
  <c r="D56" i="22" s="1"/>
  <c r="D59" i="22" s="1"/>
  <c r="D48" i="22"/>
  <c r="D45" i="22"/>
  <c r="D43" i="22"/>
  <c r="D51" i="22" s="1"/>
  <c r="D36" i="22"/>
  <c r="D35" i="22"/>
  <c r="D33" i="22"/>
  <c r="D16" i="22"/>
  <c r="D19" i="22"/>
  <c r="D21" i="22"/>
  <c r="D27" i="22" s="1"/>
  <c r="K58" i="21"/>
  <c r="Q90" i="1" s="1"/>
  <c r="K46" i="21"/>
  <c r="K30" i="21"/>
  <c r="K14" i="21" s="1"/>
  <c r="K24" i="21"/>
  <c r="Q32" i="1"/>
  <c r="E4" i="29"/>
  <c r="P6" i="21"/>
  <c r="L4" i="21"/>
  <c r="M6" i="21"/>
  <c r="N6" i="21"/>
  <c r="O6" i="21"/>
  <c r="O58" i="21"/>
  <c r="O59" i="21" s="1"/>
  <c r="O46" i="21"/>
  <c r="O30" i="21"/>
  <c r="O14" i="21" s="1"/>
  <c r="O24" i="21"/>
  <c r="O26" i="21" s="1"/>
  <c r="P58" i="21"/>
  <c r="P59" i="21" s="1"/>
  <c r="N58" i="21"/>
  <c r="N59" i="21" s="1"/>
  <c r="M58" i="21"/>
  <c r="M59" i="21" s="1"/>
  <c r="L58" i="21"/>
  <c r="L59" i="21" s="1"/>
  <c r="P46" i="21"/>
  <c r="N46" i="21"/>
  <c r="M46" i="21"/>
  <c r="L46" i="21"/>
  <c r="P30" i="21"/>
  <c r="P14" i="21" s="1"/>
  <c r="N30" i="21"/>
  <c r="N14" i="21" s="1"/>
  <c r="M30" i="21"/>
  <c r="M14" i="21" s="1"/>
  <c r="L30" i="21"/>
  <c r="L14" i="21" s="1"/>
  <c r="P24" i="21"/>
  <c r="P31" i="21" s="1"/>
  <c r="P36" i="21" s="1"/>
  <c r="N24" i="21"/>
  <c r="N31" i="21" s="1"/>
  <c r="N36" i="21" s="1"/>
  <c r="M24" i="21"/>
  <c r="M31" i="21" s="1"/>
  <c r="M36" i="21" s="1"/>
  <c r="L24" i="21"/>
  <c r="L31" i="21" s="1"/>
  <c r="L36" i="21" s="1"/>
  <c r="F16" i="32"/>
  <c r="F12" i="32"/>
  <c r="F13" i="32" s="1"/>
  <c r="G12" i="32"/>
  <c r="G13" i="32" s="1"/>
  <c r="G9" i="32"/>
  <c r="G6" i="32"/>
  <c r="D13" i="32"/>
  <c r="D10" i="32"/>
  <c r="D4" i="32"/>
  <c r="G4" i="32" s="1"/>
  <c r="F4" i="32"/>
  <c r="C4" i="32"/>
  <c r="D33" i="29"/>
  <c r="C33" i="29"/>
  <c r="C13" i="29"/>
  <c r="D13" i="29"/>
  <c r="E11" i="29"/>
  <c r="K4" i="29" l="1"/>
  <c r="D7" i="32"/>
  <c r="D20" i="22"/>
  <c r="D28" i="22" s="1"/>
  <c r="D29" i="22" s="1"/>
  <c r="D61" i="22" s="1"/>
  <c r="D8" i="35"/>
  <c r="D22" i="22"/>
  <c r="D38" i="22"/>
  <c r="D41" i="22" s="1"/>
  <c r="K59" i="21"/>
  <c r="R4" i="21"/>
  <c r="F10" i="36"/>
  <c r="F11" i="36" s="1"/>
  <c r="H42" i="36"/>
  <c r="D52" i="22"/>
  <c r="K31" i="21"/>
  <c r="K36" i="21" s="1"/>
  <c r="O31" i="21"/>
  <c r="O36" i="21" s="1"/>
  <c r="M26" i="21"/>
  <c r="P26" i="21"/>
  <c r="L26" i="21"/>
  <c r="N26" i="21"/>
  <c r="C6" i="32"/>
  <c r="C7" i="32" s="1"/>
  <c r="E27" i="29"/>
  <c r="E13" i="29" s="1"/>
  <c r="E15" i="29" s="1"/>
  <c r="E23" i="29"/>
  <c r="U32" i="1"/>
  <c r="C8" i="35" s="1"/>
  <c r="V32" i="1"/>
  <c r="W31" i="1"/>
  <c r="S31" i="1"/>
  <c r="R31" i="1"/>
  <c r="W30" i="1"/>
  <c r="S30" i="1"/>
  <c r="R30" i="1"/>
  <c r="W29" i="1"/>
  <c r="S29" i="1"/>
  <c r="R29" i="1"/>
  <c r="W28" i="1"/>
  <c r="S28" i="1"/>
  <c r="R28" i="1"/>
  <c r="W27" i="1"/>
  <c r="S27" i="1"/>
  <c r="R27" i="1"/>
  <c r="W26" i="1"/>
  <c r="S26" i="1"/>
  <c r="R26" i="1"/>
  <c r="W25" i="1"/>
  <c r="S25" i="1"/>
  <c r="R25" i="1"/>
  <c r="S24" i="1"/>
  <c r="R24" i="1"/>
  <c r="W23" i="1"/>
  <c r="AD71" i="1"/>
  <c r="AE71" i="1"/>
  <c r="AF71" i="1"/>
  <c r="AD73" i="1"/>
  <c r="AE73" i="1"/>
  <c r="AF73" i="1"/>
  <c r="AD74" i="1"/>
  <c r="AE74" i="1"/>
  <c r="AF74" i="1"/>
  <c r="AE70" i="1"/>
  <c r="AF70" i="1"/>
  <c r="AD70" i="1"/>
  <c r="AE69" i="1"/>
  <c r="AF69" i="1"/>
  <c r="AD69" i="1"/>
  <c r="G4" i="20"/>
  <c r="D11" i="29"/>
  <c r="C11" i="29"/>
  <c r="D51" i="29"/>
  <c r="D50" i="29"/>
  <c r="D47" i="29"/>
  <c r="D46" i="29"/>
  <c r="C21" i="29"/>
  <c r="D21" i="29" s="1"/>
  <c r="C5" i="29"/>
  <c r="D5" i="29"/>
  <c r="I58" i="21"/>
  <c r="F6" i="31"/>
  <c r="E15" i="31"/>
  <c r="B112" i="20"/>
  <c r="B111" i="20"/>
  <c r="B110" i="20"/>
  <c r="B108" i="20"/>
  <c r="B107" i="20"/>
  <c r="B105" i="20"/>
  <c r="B98" i="20"/>
  <c r="B97" i="20"/>
  <c r="B96" i="20"/>
  <c r="B89" i="20"/>
  <c r="B88" i="20"/>
  <c r="B81" i="20"/>
  <c r="B80" i="20"/>
  <c r="B72" i="20"/>
  <c r="B71" i="20"/>
  <c r="B64" i="20"/>
  <c r="B63" i="20"/>
  <c r="B56" i="20"/>
  <c r="B55" i="20"/>
  <c r="B53" i="20"/>
  <c r="B50" i="20"/>
  <c r="B49" i="20"/>
  <c r="B47" i="20"/>
  <c r="B43" i="20"/>
  <c r="B42" i="20"/>
  <c r="B34" i="20"/>
  <c r="B19" i="20"/>
  <c r="B14" i="20"/>
  <c r="B7" i="20"/>
  <c r="F8" i="31"/>
  <c r="G8" i="31"/>
  <c r="F9" i="31"/>
  <c r="G9" i="31"/>
  <c r="F10" i="31"/>
  <c r="G10" i="31"/>
  <c r="F11" i="31"/>
  <c r="G11" i="31"/>
  <c r="F12" i="31"/>
  <c r="G12" i="31"/>
  <c r="F13" i="31"/>
  <c r="G13" i="31"/>
  <c r="F14" i="31"/>
  <c r="G14" i="31"/>
  <c r="G7" i="31"/>
  <c r="F7" i="31"/>
  <c r="F4" i="31"/>
  <c r="E4" i="31"/>
  <c r="W123" i="1"/>
  <c r="Q94" i="1" l="1"/>
  <c r="E18" i="29"/>
  <c r="Q96" i="1" s="1"/>
  <c r="R23" i="1"/>
  <c r="P32" i="1"/>
  <c r="B8" i="35" s="1"/>
  <c r="G9" i="36"/>
  <c r="C9" i="32"/>
  <c r="E28" i="29"/>
  <c r="E33" i="29" s="1"/>
  <c r="W24" i="1"/>
  <c r="S23" i="1"/>
  <c r="G6" i="31"/>
  <c r="C15" i="31"/>
  <c r="F15" i="31"/>
  <c r="C22" i="24"/>
  <c r="C21" i="24"/>
  <c r="C54" i="22"/>
  <c r="C56" i="22" s="1"/>
  <c r="C59" i="22" s="1"/>
  <c r="C43" i="22"/>
  <c r="C45" i="22" s="1"/>
  <c r="C48" i="22" s="1"/>
  <c r="C36" i="22"/>
  <c r="C35" i="22"/>
  <c r="C33" i="22"/>
  <c r="C21" i="22"/>
  <c r="C27" i="22" s="1"/>
  <c r="C19" i="22"/>
  <c r="C16" i="22"/>
  <c r="I30" i="21"/>
  <c r="I14" i="21" s="1"/>
  <c r="C10" i="32" l="1"/>
  <c r="C12" i="32"/>
  <c r="C13" i="32" s="1"/>
  <c r="G10" i="36"/>
  <c r="G11" i="36" s="1"/>
  <c r="G42" i="36"/>
  <c r="R32" i="1"/>
  <c r="AD76" i="1"/>
  <c r="AF76" i="1"/>
  <c r="AE76" i="1"/>
  <c r="C51" i="22"/>
  <c r="C52" i="22" s="1"/>
  <c r="C20" i="22"/>
  <c r="C28" i="22" s="1"/>
  <c r="C29" i="22" s="1"/>
  <c r="C38" i="22"/>
  <c r="C41" i="22" s="1"/>
  <c r="G14" i="21"/>
  <c r="R95" i="1"/>
  <c r="C42" i="29"/>
  <c r="C4" i="29"/>
  <c r="W98" i="1"/>
  <c r="S98" i="1"/>
  <c r="R98" i="1"/>
  <c r="W103" i="1"/>
  <c r="S103" i="1"/>
  <c r="V104" i="1"/>
  <c r="K78" i="20" s="1"/>
  <c r="U104" i="1"/>
  <c r="J78" i="20" s="1"/>
  <c r="AJ102" i="1"/>
  <c r="AI102" i="1"/>
  <c r="AH102" i="1"/>
  <c r="W102" i="1"/>
  <c r="S102" i="1"/>
  <c r="W101" i="1"/>
  <c r="S101" i="1"/>
  <c r="W100" i="1"/>
  <c r="S100" i="1"/>
  <c r="W99" i="1"/>
  <c r="W97" i="1"/>
  <c r="W96" i="1"/>
  <c r="W95" i="1"/>
  <c r="S95" i="1"/>
  <c r="C15" i="29" l="1"/>
  <c r="C61" i="22"/>
  <c r="C22" i="22"/>
  <c r="C53" i="29"/>
  <c r="AH104" i="1"/>
  <c r="D53" i="29"/>
  <c r="R103" i="1"/>
  <c r="R100" i="1"/>
  <c r="W94" i="1"/>
  <c r="R101" i="1"/>
  <c r="R102" i="1"/>
  <c r="W104" i="1"/>
  <c r="AI104" i="1"/>
  <c r="AJ104" i="1"/>
  <c r="S94" i="1"/>
  <c r="E42" i="29"/>
  <c r="D42" i="29"/>
  <c r="I59" i="21"/>
  <c r="I46" i="21"/>
  <c r="I24" i="21"/>
  <c r="I26" i="21" s="1"/>
  <c r="C18" i="29" l="1"/>
  <c r="C19" i="29" s="1"/>
  <c r="C31" i="29" s="1"/>
  <c r="C32" i="29" s="1"/>
  <c r="C37" i="29" s="1"/>
  <c r="C35" i="29" s="1"/>
  <c r="E53" i="29"/>
  <c r="I31" i="21"/>
  <c r="I36" i="21" s="1"/>
  <c r="D15" i="29"/>
  <c r="D18" i="29" s="1"/>
  <c r="D4" i="29"/>
  <c r="E19" i="29" l="1"/>
  <c r="E43" i="29" s="1"/>
  <c r="C43" i="29"/>
  <c r="C44" i="29" s="1"/>
  <c r="C55" i="29" s="1"/>
  <c r="S96" i="1" l="1"/>
  <c r="D7" i="24"/>
  <c r="C7" i="24"/>
  <c r="E31" i="29"/>
  <c r="E32" i="29" s="1"/>
  <c r="E34" i="29" s="1"/>
  <c r="E35" i="29" s="1"/>
  <c r="E37" i="29"/>
  <c r="Q97" i="1" s="1"/>
  <c r="E44" i="29"/>
  <c r="Q99" i="1" s="1"/>
  <c r="R94" i="1"/>
  <c r="D19" i="29"/>
  <c r="R96" i="1"/>
  <c r="Q104" i="1" l="1"/>
  <c r="F78" i="20" s="1"/>
  <c r="S97" i="1"/>
  <c r="C8" i="24"/>
  <c r="E55" i="29"/>
  <c r="D43" i="29"/>
  <c r="D44" i="29" s="1"/>
  <c r="D31" i="29"/>
  <c r="D32" i="29" s="1"/>
  <c r="D37" i="29" s="1"/>
  <c r="D35" i="29" s="1"/>
  <c r="R97" i="1" l="1"/>
  <c r="I57" i="29"/>
  <c r="J57" i="29"/>
  <c r="J56" i="29"/>
  <c r="I56" i="29"/>
  <c r="D55" i="29"/>
  <c r="P104" i="1"/>
  <c r="E78" i="20" s="1"/>
  <c r="AE104" i="1" l="1"/>
  <c r="AD104" i="1"/>
  <c r="AF104" i="1"/>
  <c r="Q123" i="1"/>
  <c r="AK154" i="1"/>
  <c r="AG154" i="1"/>
  <c r="AK153" i="1"/>
  <c r="AG153" i="1"/>
  <c r="AK152" i="1"/>
  <c r="AG152" i="1"/>
  <c r="AK151" i="1"/>
  <c r="AG151" i="1"/>
  <c r="AK149" i="1"/>
  <c r="AK142" i="1"/>
  <c r="AK143" i="1"/>
  <c r="AK144" i="1"/>
  <c r="AK145" i="1"/>
  <c r="AK146" i="1"/>
  <c r="AG143" i="1"/>
  <c r="AG145" i="1"/>
  <c r="AG146" i="1"/>
  <c r="AK141" i="1"/>
  <c r="AH136" i="1"/>
  <c r="AD136" i="1"/>
  <c r="AH132" i="1"/>
  <c r="AK126" i="1"/>
  <c r="AF135" i="1"/>
  <c r="AE135" i="1"/>
  <c r="AD135" i="1"/>
  <c r="AF130" i="1"/>
  <c r="AE130" i="1"/>
  <c r="AD130" i="1"/>
  <c r="AF125" i="1"/>
  <c r="AE125" i="1"/>
  <c r="AD125" i="1"/>
  <c r="AJ121" i="1"/>
  <c r="AI121" i="1"/>
  <c r="AI135" i="1" s="1"/>
  <c r="AH121" i="1"/>
  <c r="AH120" i="1"/>
  <c r="AI119" i="1"/>
  <c r="AH117" i="1"/>
  <c r="AH116" i="1"/>
  <c r="AH115" i="1"/>
  <c r="AH114" i="1"/>
  <c r="AH113" i="1"/>
  <c r="AH111" i="1"/>
  <c r="AH109" i="1"/>
  <c r="AD113" i="1"/>
  <c r="AI106" i="1"/>
  <c r="AI91" i="1"/>
  <c r="AJ91" i="1"/>
  <c r="AH91" i="1"/>
  <c r="AH76" i="1"/>
  <c r="AH74" i="1"/>
  <c r="AH73" i="1"/>
  <c r="AH71" i="1"/>
  <c r="AH70" i="1"/>
  <c r="AH69" i="1"/>
  <c r="AH66" i="1"/>
  <c r="AH65" i="1"/>
  <c r="AI64" i="1"/>
  <c r="AI63" i="1"/>
  <c r="AH62" i="1"/>
  <c r="AH60" i="1"/>
  <c r="AD66" i="1"/>
  <c r="AD65" i="1"/>
  <c r="AF64" i="1"/>
  <c r="AF63" i="1"/>
  <c r="AD62" i="1"/>
  <c r="AD60" i="1"/>
  <c r="AJ32" i="1"/>
  <c r="AH55" i="1"/>
  <c r="AH53" i="1"/>
  <c r="AD55" i="1"/>
  <c r="AD53" i="1"/>
  <c r="AJ58" i="1"/>
  <c r="AF58" i="1"/>
  <c r="AI51" i="1"/>
  <c r="AE51" i="1"/>
  <c r="AE43" i="1"/>
  <c r="AH48" i="1"/>
  <c r="AH47" i="1"/>
  <c r="AH46" i="1"/>
  <c r="AD47" i="1"/>
  <c r="AD48" i="1"/>
  <c r="AD46" i="1"/>
  <c r="AI37" i="1"/>
  <c r="AI39" i="1"/>
  <c r="AI40" i="1"/>
  <c r="AI41" i="1"/>
  <c r="AI42" i="1"/>
  <c r="AI43" i="1"/>
  <c r="AE37" i="1"/>
  <c r="AE39" i="1"/>
  <c r="AE40" i="1"/>
  <c r="AE41" i="1"/>
  <c r="AE42" i="1"/>
  <c r="AE35" i="1"/>
  <c r="AI35" i="1"/>
  <c r="AH3" i="1"/>
  <c r="AD3" i="1"/>
  <c r="C70" i="20"/>
  <c r="E70" i="20"/>
  <c r="F70" i="20"/>
  <c r="J70" i="20"/>
  <c r="K70" i="20"/>
  <c r="V77" i="1"/>
  <c r="U77" i="1"/>
  <c r="Q77" i="1"/>
  <c r="P77" i="1"/>
  <c r="W75" i="1"/>
  <c r="S75" i="1"/>
  <c r="R75" i="1"/>
  <c r="C12" i="24"/>
  <c r="R111" i="1"/>
  <c r="W116" i="1"/>
  <c r="W111" i="1"/>
  <c r="G43" i="22"/>
  <c r="E43" i="22"/>
  <c r="E45" i="22" s="1"/>
  <c r="E48" i="22" s="1"/>
  <c r="E35" i="22"/>
  <c r="E36" i="22"/>
  <c r="E19" i="22"/>
  <c r="E6" i="22"/>
  <c r="E14" i="22" s="1"/>
  <c r="E16" i="22" s="1"/>
  <c r="C100" i="20"/>
  <c r="E100" i="20"/>
  <c r="F100" i="20"/>
  <c r="H100" i="20" s="1"/>
  <c r="J100" i="20"/>
  <c r="K100" i="20"/>
  <c r="L100" i="20" s="1"/>
  <c r="P123" i="1"/>
  <c r="G58" i="21"/>
  <c r="AG123" i="1" l="1"/>
  <c r="AF123" i="1"/>
  <c r="AE123" i="1"/>
  <c r="AD123" i="1"/>
  <c r="AH131" i="1"/>
  <c r="AJ133" i="1"/>
  <c r="H70" i="20"/>
  <c r="L70" i="20"/>
  <c r="G70" i="20"/>
  <c r="G100" i="20"/>
  <c r="AH130" i="1"/>
  <c r="R99" i="1"/>
  <c r="R104" i="1" s="1"/>
  <c r="S99" i="1"/>
  <c r="AI133" i="1"/>
  <c r="AI123" i="1"/>
  <c r="AI130" i="1"/>
  <c r="AH123" i="1"/>
  <c r="AH135" i="1"/>
  <c r="AH133" i="1"/>
  <c r="E51" i="22"/>
  <c r="E52" i="22" s="1"/>
  <c r="AJ125" i="1"/>
  <c r="AJ131" i="1"/>
  <c r="AI134" i="1"/>
  <c r="AJ134" i="1"/>
  <c r="AI125" i="1"/>
  <c r="AI131" i="1"/>
  <c r="AH134" i="1"/>
  <c r="AJ135" i="1"/>
  <c r="AJ123" i="1"/>
  <c r="AH125" i="1"/>
  <c r="AJ130" i="1"/>
  <c r="AD111" i="1"/>
  <c r="S111" i="1"/>
  <c r="E21" i="22"/>
  <c r="E27" i="22" s="1"/>
  <c r="E20" i="22"/>
  <c r="E28" i="22" s="1"/>
  <c r="E54" i="22"/>
  <c r="E56" i="22" s="1"/>
  <c r="E59" i="22" s="1"/>
  <c r="P132" i="1" s="1"/>
  <c r="AD132" i="1" s="1"/>
  <c r="E31" i="22"/>
  <c r="E33" i="22" s="1"/>
  <c r="E38" i="22" s="1"/>
  <c r="E41" i="22" s="1"/>
  <c r="G24" i="21"/>
  <c r="G26" i="21" s="1"/>
  <c r="G31" i="21" s="1"/>
  <c r="D24" i="21"/>
  <c r="W90" i="1"/>
  <c r="D59" i="21"/>
  <c r="E59" i="21"/>
  <c r="F59" i="21"/>
  <c r="G59" i="21"/>
  <c r="C59" i="21"/>
  <c r="H58" i="21"/>
  <c r="H59" i="21" s="1"/>
  <c r="H37" i="21"/>
  <c r="H16" i="21"/>
  <c r="H46" i="21"/>
  <c r="E4" i="21"/>
  <c r="E46" i="21"/>
  <c r="E22" i="21"/>
  <c r="E24" i="21" s="1"/>
  <c r="E26" i="21" s="1"/>
  <c r="E14" i="21"/>
  <c r="D48" i="21"/>
  <c r="D46" i="21"/>
  <c r="F46" i="21"/>
  <c r="G46" i="21"/>
  <c r="C46" i="21"/>
  <c r="Q116" i="1" l="1"/>
  <c r="S116" i="1" s="1"/>
  <c r="AD115" i="1"/>
  <c r="Q115" i="1"/>
  <c r="S104" i="1"/>
  <c r="AD116" i="1"/>
  <c r="E22" i="22"/>
  <c r="E29" i="22"/>
  <c r="Q114" i="1" s="1"/>
  <c r="R90" i="1"/>
  <c r="S90" i="1"/>
  <c r="E31" i="21"/>
  <c r="D31" i="21"/>
  <c r="D49" i="21" s="1"/>
  <c r="D6" i="21"/>
  <c r="D9" i="21"/>
  <c r="D14" i="21"/>
  <c r="C14" i="21"/>
  <c r="F14" i="21"/>
  <c r="F22" i="21"/>
  <c r="F24" i="21" s="1"/>
  <c r="F26" i="21" s="1"/>
  <c r="G36" i="21"/>
  <c r="C9" i="21"/>
  <c r="C22" i="21" s="1"/>
  <c r="C24" i="21" s="1"/>
  <c r="C26" i="21" s="1"/>
  <c r="B6" i="21"/>
  <c r="AE119" i="1"/>
  <c r="AG149" i="1"/>
  <c r="AG144" i="1"/>
  <c r="AG142" i="1"/>
  <c r="AG141" i="1"/>
  <c r="Q133" i="1"/>
  <c r="H133" i="1"/>
  <c r="M120" i="1"/>
  <c r="N120" i="1" s="1"/>
  <c r="O120" i="1" s="1"/>
  <c r="W160" i="1"/>
  <c r="S160" i="1"/>
  <c r="R160" i="1"/>
  <c r="L123" i="1"/>
  <c r="W125" i="1"/>
  <c r="S125" i="1"/>
  <c r="R125" i="1"/>
  <c r="R116" i="1" l="1"/>
  <c r="AD114" i="1"/>
  <c r="E61" i="22"/>
  <c r="P62" i="22" s="1"/>
  <c r="P63" i="22" s="1"/>
  <c r="D36" i="21"/>
  <c r="H18" i="21"/>
  <c r="H19" i="21" s="1"/>
  <c r="F31" i="21"/>
  <c r="F48" i="21"/>
  <c r="E36" i="21"/>
  <c r="E49" i="21"/>
  <c r="C31" i="21"/>
  <c r="C48" i="21"/>
  <c r="B7" i="21"/>
  <c r="S123" i="1"/>
  <c r="K103" i="20"/>
  <c r="J103" i="20"/>
  <c r="F103" i="20"/>
  <c r="E103" i="20"/>
  <c r="E62" i="22" l="1"/>
  <c r="E63" i="22" s="1"/>
  <c r="G103" i="20"/>
  <c r="L103" i="20"/>
  <c r="H47" i="21"/>
  <c r="H50" i="21" s="1"/>
  <c r="G4" i="21"/>
  <c r="G7" i="21" s="1"/>
  <c r="G11" i="21" s="1"/>
  <c r="I11" i="21" s="1"/>
  <c r="I12" i="21" s="1"/>
  <c r="C4" i="21"/>
  <c r="C7" i="21" s="1"/>
  <c r="D4" i="21"/>
  <c r="D7" i="21" s="1"/>
  <c r="D11" i="21" s="1"/>
  <c r="C36" i="21"/>
  <c r="C49" i="21"/>
  <c r="F36" i="21"/>
  <c r="F49" i="21"/>
  <c r="H103" i="20"/>
  <c r="R123" i="1"/>
  <c r="H51" i="21" l="1"/>
  <c r="H61" i="21" s="1"/>
  <c r="L11" i="21"/>
  <c r="I16" i="21"/>
  <c r="D16" i="21"/>
  <c r="D18" i="21" s="1"/>
  <c r="D19" i="21" s="1"/>
  <c r="G16" i="21"/>
  <c r="C11" i="21"/>
  <c r="C16" i="21" s="1"/>
  <c r="F11" i="21"/>
  <c r="F16" i="21" s="1"/>
  <c r="P4" i="21" l="1"/>
  <c r="M4" i="21"/>
  <c r="M7" i="21" s="1"/>
  <c r="M11" i="21" s="1"/>
  <c r="N4" i="21"/>
  <c r="N7" i="21" s="1"/>
  <c r="O4" i="21"/>
  <c r="O7" i="21" s="1"/>
  <c r="O11" i="21" s="1"/>
  <c r="I18" i="21"/>
  <c r="L16" i="21"/>
  <c r="D34" i="21"/>
  <c r="D35" i="21" s="1"/>
  <c r="D47" i="21"/>
  <c r="D50" i="21" s="1"/>
  <c r="D51" i="21" s="1"/>
  <c r="G18" i="21"/>
  <c r="C18" i="21"/>
  <c r="C19" i="21" s="1"/>
  <c r="F18" i="21"/>
  <c r="F19" i="21" s="1"/>
  <c r="W133" i="1"/>
  <c r="P7" i="21" l="1"/>
  <c r="P11" i="21" s="1"/>
  <c r="P16" i="21" s="1"/>
  <c r="P18" i="21" s="1"/>
  <c r="P19" i="21" s="1"/>
  <c r="M12" i="21"/>
  <c r="M16" i="21"/>
  <c r="M18" i="21" s="1"/>
  <c r="M19" i="21" s="1"/>
  <c r="O16" i="21"/>
  <c r="O18" i="21" s="1"/>
  <c r="O19" i="21" s="1"/>
  <c r="L12" i="21"/>
  <c r="L18" i="21"/>
  <c r="L19" i="21" s="1"/>
  <c r="I19" i="21"/>
  <c r="I40" i="21" s="1"/>
  <c r="G19" i="21"/>
  <c r="G47" i="21" s="1"/>
  <c r="G50" i="21" s="1"/>
  <c r="G51" i="21" s="1"/>
  <c r="D37" i="21"/>
  <c r="D38" i="21" s="1"/>
  <c r="D39" i="21" s="1"/>
  <c r="F34" i="21"/>
  <c r="F35" i="21" s="1"/>
  <c r="F37" i="21" s="1"/>
  <c r="F47" i="21"/>
  <c r="F50" i="21" s="1"/>
  <c r="F51" i="21" s="1"/>
  <c r="C34" i="21"/>
  <c r="C35" i="21" s="1"/>
  <c r="C37" i="21" s="1"/>
  <c r="C47" i="21"/>
  <c r="C50" i="21" s="1"/>
  <c r="C51" i="21" s="1"/>
  <c r="F61" i="21" l="1"/>
  <c r="F65" i="21" s="1"/>
  <c r="D61" i="21"/>
  <c r="D65" i="21" s="1"/>
  <c r="G78" i="20"/>
  <c r="P12" i="21"/>
  <c r="O34" i="21"/>
  <c r="O35" i="21" s="1"/>
  <c r="O37" i="21" s="1"/>
  <c r="O38" i="21" s="1"/>
  <c r="O47" i="21"/>
  <c r="O50" i="21" s="1"/>
  <c r="O51" i="21" s="1"/>
  <c r="O40" i="21"/>
  <c r="P34" i="21"/>
  <c r="P35" i="21" s="1"/>
  <c r="P37" i="21" s="1"/>
  <c r="P38" i="21" s="1"/>
  <c r="P40" i="21"/>
  <c r="P47" i="21"/>
  <c r="P50" i="21" s="1"/>
  <c r="P51" i="21" s="1"/>
  <c r="M47" i="21"/>
  <c r="M50" i="21" s="1"/>
  <c r="M51" i="21" s="1"/>
  <c r="M34" i="21"/>
  <c r="M35" i="21" s="1"/>
  <c r="M37" i="21" s="1"/>
  <c r="M38" i="21" s="1"/>
  <c r="M40" i="21"/>
  <c r="L47" i="21"/>
  <c r="L50" i="21" s="1"/>
  <c r="L51" i="21" s="1"/>
  <c r="L34" i="21"/>
  <c r="L35" i="21" s="1"/>
  <c r="L37" i="21" s="1"/>
  <c r="L38" i="21" s="1"/>
  <c r="L40" i="21"/>
  <c r="I34" i="21"/>
  <c r="I35" i="21" s="1"/>
  <c r="I37" i="21" s="1"/>
  <c r="I47" i="21"/>
  <c r="I50" i="21" s="1"/>
  <c r="I51" i="21" s="1"/>
  <c r="C61" i="21"/>
  <c r="C65" i="21" s="1"/>
  <c r="G34" i="21"/>
  <c r="C38" i="21"/>
  <c r="C39" i="21" s="1"/>
  <c r="F38" i="21"/>
  <c r="F39" i="21" s="1"/>
  <c r="W163" i="1"/>
  <c r="S163" i="1"/>
  <c r="W86" i="1"/>
  <c r="S87" i="1"/>
  <c r="W85" i="1"/>
  <c r="S85" i="1"/>
  <c r="R85" i="1"/>
  <c r="L61" i="21" l="1"/>
  <c r="H78" i="20"/>
  <c r="M61" i="21"/>
  <c r="P61" i="21"/>
  <c r="O61" i="21"/>
  <c r="I38" i="21"/>
  <c r="I61" i="21"/>
  <c r="G35" i="21"/>
  <c r="G37" i="21" s="1"/>
  <c r="G40" i="21" s="1"/>
  <c r="W87" i="1"/>
  <c r="R163" i="1"/>
  <c r="R87" i="1"/>
  <c r="M62" i="21" l="1"/>
  <c r="M63" i="21" s="1"/>
  <c r="P62" i="21"/>
  <c r="P63" i="21" s="1"/>
  <c r="G61" i="21"/>
  <c r="G38" i="21"/>
  <c r="L128" i="1"/>
  <c r="X128" i="1" s="1"/>
  <c r="L127" i="1"/>
  <c r="L126" i="1"/>
  <c r="L133" i="1"/>
  <c r="H126" i="1"/>
  <c r="F126" i="1" s="1"/>
  <c r="P126" i="1" s="1"/>
  <c r="L106" i="1"/>
  <c r="F106" i="1"/>
  <c r="X106" i="1" s="1"/>
  <c r="C11" i="24" l="1"/>
  <c r="I62" i="21"/>
  <c r="I63" i="21" s="1"/>
  <c r="X127" i="1"/>
  <c r="C13" i="24"/>
  <c r="AE106" i="1"/>
  <c r="M77" i="1"/>
  <c r="I77" i="1"/>
  <c r="E77" i="1"/>
  <c r="X4" i="1"/>
  <c r="U2" i="1"/>
  <c r="R3" i="1"/>
  <c r="Q3" i="1"/>
  <c r="H4" i="36" s="1"/>
  <c r="P3" i="1"/>
  <c r="H16" i="36" l="1"/>
  <c r="H34" i="36"/>
  <c r="G4" i="36"/>
  <c r="F4" i="36"/>
  <c r="AG126" i="1"/>
  <c r="G83" i="1"/>
  <c r="W115" i="1"/>
  <c r="S115" i="1"/>
  <c r="G34" i="36" l="1"/>
  <c r="G16" i="36"/>
  <c r="F34" i="36"/>
  <c r="F16" i="36"/>
  <c r="AF133" i="1"/>
  <c r="AE133" i="1"/>
  <c r="AD133" i="1"/>
  <c r="R115" i="1"/>
  <c r="S133" i="1" l="1"/>
  <c r="R133" i="1"/>
  <c r="C10" i="20"/>
  <c r="C11" i="20"/>
  <c r="C12" i="20"/>
  <c r="C13" i="20"/>
  <c r="C8" i="20"/>
  <c r="C17" i="20"/>
  <c r="C18" i="20"/>
  <c r="C16" i="20"/>
  <c r="C36" i="20"/>
  <c r="C37" i="20"/>
  <c r="C38" i="20"/>
  <c r="C39" i="20"/>
  <c r="C40" i="20"/>
  <c r="C41" i="20"/>
  <c r="C35" i="20"/>
  <c r="C45" i="20"/>
  <c r="C46" i="20"/>
  <c r="C44" i="20"/>
  <c r="C52" i="20"/>
  <c r="C51" i="20"/>
  <c r="C58" i="20"/>
  <c r="C59" i="20"/>
  <c r="C60" i="20"/>
  <c r="C61" i="20"/>
  <c r="C62" i="20"/>
  <c r="C57" i="20"/>
  <c r="C66" i="20"/>
  <c r="C67" i="20"/>
  <c r="C68" i="20"/>
  <c r="C69" i="20"/>
  <c r="C65" i="20"/>
  <c r="C83" i="20"/>
  <c r="C84" i="20"/>
  <c r="C85" i="20"/>
  <c r="C86" i="20"/>
  <c r="C87" i="20"/>
  <c r="C82" i="20"/>
  <c r="C91" i="20"/>
  <c r="C92" i="20"/>
  <c r="C93" i="20"/>
  <c r="C94" i="20"/>
  <c r="C95" i="20"/>
  <c r="C90" i="20"/>
  <c r="C101" i="20"/>
  <c r="C102" i="20"/>
  <c r="C104" i="20"/>
  <c r="C99" i="20"/>
  <c r="P120" i="1"/>
  <c r="AD120" i="1" s="1"/>
  <c r="AD117" i="1"/>
  <c r="AD109" i="1"/>
  <c r="G84" i="1" l="1"/>
  <c r="G85" i="1" s="1"/>
  <c r="W159" i="1"/>
  <c r="Q165" i="1" l="1"/>
  <c r="K99" i="20" l="1"/>
  <c r="J99" i="20"/>
  <c r="F99" i="20"/>
  <c r="S159" i="1"/>
  <c r="E99" i="20" l="1"/>
  <c r="G99" i="20" s="1"/>
  <c r="R159" i="1"/>
  <c r="Q147" i="1" l="1"/>
  <c r="Q156" i="1"/>
  <c r="Q121" i="1"/>
  <c r="Q134" i="1" s="1"/>
  <c r="Q107" i="1"/>
  <c r="Q67" i="1"/>
  <c r="Q56" i="1"/>
  <c r="Q49" i="1"/>
  <c r="Q157" i="1" l="1"/>
  <c r="D11" i="35" s="1"/>
  <c r="J3" i="20"/>
  <c r="Q137" i="1" l="1"/>
  <c r="K11" i="20"/>
  <c r="K12" i="20"/>
  <c r="J11" i="20"/>
  <c r="J12" i="20"/>
  <c r="E61" i="20"/>
  <c r="F61" i="20"/>
  <c r="J61" i="20"/>
  <c r="K61" i="20"/>
  <c r="G61" i="20" l="1"/>
  <c r="H61" i="20"/>
  <c r="L61" i="20"/>
  <c r="W65" i="1"/>
  <c r="S65" i="1"/>
  <c r="R65" i="1" l="1"/>
  <c r="E40" i="20" l="1"/>
  <c r="F40" i="20"/>
  <c r="J40" i="20"/>
  <c r="K40" i="20"/>
  <c r="G40" i="20" l="1"/>
  <c r="L40" i="20"/>
  <c r="H40" i="20"/>
  <c r="R164" i="1"/>
  <c r="R162" i="1"/>
  <c r="R161" i="1"/>
  <c r="R155" i="1"/>
  <c r="R154" i="1"/>
  <c r="R153" i="1"/>
  <c r="R152" i="1"/>
  <c r="R151" i="1"/>
  <c r="R149" i="1"/>
  <c r="R146" i="1"/>
  <c r="R145" i="1"/>
  <c r="R144" i="1"/>
  <c r="R143" i="1"/>
  <c r="R142" i="1"/>
  <c r="R141" i="1"/>
  <c r="R136" i="1"/>
  <c r="R132" i="1"/>
  <c r="R130" i="1"/>
  <c r="R120" i="1"/>
  <c r="R119" i="1"/>
  <c r="R113" i="1"/>
  <c r="R109" i="1"/>
  <c r="R106" i="1"/>
  <c r="R91" i="1"/>
  <c r="R89" i="1"/>
  <c r="R83" i="1"/>
  <c r="R71" i="1"/>
  <c r="R70" i="1"/>
  <c r="R69" i="1"/>
  <c r="R64" i="1"/>
  <c r="R63" i="1"/>
  <c r="R58" i="1"/>
  <c r="R55" i="1"/>
  <c r="R53" i="1"/>
  <c r="R51" i="1"/>
  <c r="R47" i="1"/>
  <c r="R46" i="1"/>
  <c r="R42" i="1"/>
  <c r="R41" i="1"/>
  <c r="R40" i="1"/>
  <c r="R39" i="1"/>
  <c r="R37" i="1"/>
  <c r="R147" i="1" l="1"/>
  <c r="R156" i="1"/>
  <c r="R56" i="1"/>
  <c r="R165" i="1"/>
  <c r="R157" i="1" l="1"/>
  <c r="S42" i="1" l="1"/>
  <c r="W42" i="1"/>
  <c r="F4" i="20" l="1"/>
  <c r="E4" i="20"/>
  <c r="K4" i="20"/>
  <c r="J4" i="20"/>
  <c r="W51" i="1"/>
  <c r="S51" i="1"/>
  <c r="K49" i="20"/>
  <c r="J49" i="20"/>
  <c r="F49" i="20"/>
  <c r="E49" i="20"/>
  <c r="G49" i="20" l="1"/>
  <c r="H49" i="20"/>
  <c r="L49" i="20"/>
  <c r="K104" i="20" l="1"/>
  <c r="K101" i="20"/>
  <c r="K95" i="20"/>
  <c r="K94" i="20"/>
  <c r="K93" i="20"/>
  <c r="K92" i="20"/>
  <c r="K91" i="20"/>
  <c r="K90" i="20"/>
  <c r="K87" i="20"/>
  <c r="K86" i="20"/>
  <c r="K85" i="20"/>
  <c r="K84" i="20"/>
  <c r="K83" i="20"/>
  <c r="K82" i="20"/>
  <c r="K69" i="20"/>
  <c r="K68" i="20"/>
  <c r="K67" i="20"/>
  <c r="K66" i="20"/>
  <c r="K65" i="20"/>
  <c r="K62" i="20"/>
  <c r="K60" i="20"/>
  <c r="K59" i="20"/>
  <c r="K55" i="20"/>
  <c r="K52" i="20"/>
  <c r="K51" i="20"/>
  <c r="K46" i="20"/>
  <c r="K45" i="20"/>
  <c r="K44" i="20"/>
  <c r="K41" i="20"/>
  <c r="K39" i="20"/>
  <c r="K37" i="20"/>
  <c r="K36" i="20"/>
  <c r="K35" i="20"/>
  <c r="K16" i="20"/>
  <c r="K13" i="20"/>
  <c r="K10" i="20"/>
  <c r="K8" i="20"/>
  <c r="J102" i="20"/>
  <c r="J101" i="20"/>
  <c r="J95" i="20"/>
  <c r="J94" i="20"/>
  <c r="J93" i="20"/>
  <c r="J92" i="20"/>
  <c r="J91" i="20"/>
  <c r="J90" i="20"/>
  <c r="J87" i="20"/>
  <c r="J86" i="20"/>
  <c r="J85" i="20"/>
  <c r="J84" i="20"/>
  <c r="J83" i="20"/>
  <c r="J82" i="20"/>
  <c r="J69" i="20"/>
  <c r="J68" i="20"/>
  <c r="J67" i="20"/>
  <c r="J66" i="20"/>
  <c r="J65" i="20"/>
  <c r="J62" i="20"/>
  <c r="J60" i="20"/>
  <c r="J59" i="20"/>
  <c r="J55" i="20"/>
  <c r="J52" i="20"/>
  <c r="J51" i="20"/>
  <c r="J46" i="20"/>
  <c r="J45" i="20"/>
  <c r="J44" i="20"/>
  <c r="J41" i="20"/>
  <c r="J39" i="20"/>
  <c r="J38" i="20"/>
  <c r="J37" i="20"/>
  <c r="J36" i="20"/>
  <c r="J35" i="20"/>
  <c r="J18" i="20"/>
  <c r="J17" i="20"/>
  <c r="J16" i="20"/>
  <c r="J13" i="20"/>
  <c r="J10" i="20"/>
  <c r="J8" i="20"/>
  <c r="W89" i="1"/>
  <c r="S89" i="1"/>
  <c r="J71" i="20" l="1"/>
  <c r="K71" i="20"/>
  <c r="K53" i="20"/>
  <c r="J88" i="20"/>
  <c r="J42" i="20"/>
  <c r="J14" i="20"/>
  <c r="J47" i="20"/>
  <c r="K88" i="20"/>
  <c r="K96" i="20"/>
  <c r="J53" i="20"/>
  <c r="J96" i="20"/>
  <c r="K14" i="20"/>
  <c r="K47" i="20"/>
  <c r="J97" i="20" l="1"/>
  <c r="K97" i="20"/>
  <c r="R73" i="1"/>
  <c r="R74" i="1"/>
  <c r="R61" i="1"/>
  <c r="R66" i="1"/>
  <c r="R60" i="1"/>
  <c r="R48" i="1"/>
  <c r="R43" i="1"/>
  <c r="W84" i="1"/>
  <c r="R77" i="1" l="1"/>
  <c r="R49" i="1"/>
  <c r="R67" i="1"/>
  <c r="F36" i="20"/>
  <c r="F37" i="20"/>
  <c r="F38" i="20"/>
  <c r="F39" i="20"/>
  <c r="F41" i="20"/>
  <c r="F44" i="20"/>
  <c r="F45" i="20"/>
  <c r="F46" i="20"/>
  <c r="F51" i="20"/>
  <c r="F52" i="20"/>
  <c r="F55" i="20"/>
  <c r="F57" i="20"/>
  <c r="F58" i="20"/>
  <c r="F59" i="20"/>
  <c r="F60" i="20"/>
  <c r="F62" i="20"/>
  <c r="F65" i="20"/>
  <c r="F66" i="20"/>
  <c r="F67" i="20"/>
  <c r="F68" i="20"/>
  <c r="F69" i="20"/>
  <c r="F82" i="20"/>
  <c r="F83" i="20"/>
  <c r="F84" i="20"/>
  <c r="F85" i="20"/>
  <c r="F86" i="20"/>
  <c r="F87" i="20"/>
  <c r="F90" i="20"/>
  <c r="F91" i="20"/>
  <c r="F92" i="20"/>
  <c r="F93" i="20"/>
  <c r="F94" i="20"/>
  <c r="F95" i="20"/>
  <c r="F101" i="20"/>
  <c r="F102" i="20"/>
  <c r="F104" i="20"/>
  <c r="F16" i="20"/>
  <c r="P131" i="1"/>
  <c r="AD131" i="1" l="1"/>
  <c r="AE131" i="1"/>
  <c r="AF131" i="1"/>
  <c r="F71" i="20"/>
  <c r="R131" i="1"/>
  <c r="F47" i="20"/>
  <c r="F105" i="20"/>
  <c r="F63" i="20"/>
  <c r="F53" i="20"/>
  <c r="F88" i="20"/>
  <c r="F96" i="20"/>
  <c r="F97" i="20" l="1"/>
  <c r="E104" i="20" l="1"/>
  <c r="H104" i="20" s="1"/>
  <c r="E102" i="20"/>
  <c r="E101" i="20"/>
  <c r="G101" i="20" s="1"/>
  <c r="E94" i="20"/>
  <c r="G94" i="20" s="1"/>
  <c r="E93" i="20"/>
  <c r="G93" i="20" s="1"/>
  <c r="E92" i="20"/>
  <c r="G92" i="20" s="1"/>
  <c r="E91" i="20"/>
  <c r="G91" i="20" s="1"/>
  <c r="E90" i="20"/>
  <c r="G90" i="20" s="1"/>
  <c r="E83" i="20"/>
  <c r="G83" i="20" s="1"/>
  <c r="E84" i="20"/>
  <c r="G84" i="20" s="1"/>
  <c r="E85" i="20"/>
  <c r="E86" i="20"/>
  <c r="G86" i="20" s="1"/>
  <c r="E87" i="20"/>
  <c r="G87" i="20" s="1"/>
  <c r="E82" i="20"/>
  <c r="G82" i="20" s="1"/>
  <c r="E69" i="20"/>
  <c r="G69" i="20" s="1"/>
  <c r="E68" i="20"/>
  <c r="G68" i="20" s="1"/>
  <c r="E67" i="20"/>
  <c r="G67" i="20" s="1"/>
  <c r="E66" i="20"/>
  <c r="G66" i="20" s="1"/>
  <c r="E65" i="20"/>
  <c r="G65" i="20" s="1"/>
  <c r="E62" i="20"/>
  <c r="G62" i="20" s="1"/>
  <c r="E60" i="20"/>
  <c r="G60" i="20" s="1"/>
  <c r="E58" i="20"/>
  <c r="G58" i="20" s="1"/>
  <c r="E57" i="20"/>
  <c r="G57" i="20" s="1"/>
  <c r="E55" i="20"/>
  <c r="G55" i="20" s="1"/>
  <c r="E52" i="20"/>
  <c r="G52" i="20" s="1"/>
  <c r="E51" i="20"/>
  <c r="G51" i="20" s="1"/>
  <c r="E46" i="20"/>
  <c r="G46" i="20" s="1"/>
  <c r="E45" i="20"/>
  <c r="G45" i="20" s="1"/>
  <c r="E44" i="20"/>
  <c r="G44" i="20" s="1"/>
  <c r="E36" i="20"/>
  <c r="G36" i="20" s="1"/>
  <c r="E37" i="20"/>
  <c r="G37" i="20" s="1"/>
  <c r="E38" i="20"/>
  <c r="G38" i="20" s="1"/>
  <c r="E39" i="20"/>
  <c r="G39" i="20" s="1"/>
  <c r="E41" i="20"/>
  <c r="G41" i="20" s="1"/>
  <c r="L95" i="20"/>
  <c r="L12" i="20"/>
  <c r="G47" i="20" l="1"/>
  <c r="H85" i="20"/>
  <c r="G85" i="20"/>
  <c r="G88" i="20" s="1"/>
  <c r="G53" i="20"/>
  <c r="G71" i="20"/>
  <c r="G96" i="20"/>
  <c r="H102" i="20"/>
  <c r="G102" i="20"/>
  <c r="G105" i="20" s="1"/>
  <c r="E71" i="20"/>
  <c r="E53" i="20"/>
  <c r="H46" i="20"/>
  <c r="H58" i="20"/>
  <c r="L13" i="20"/>
  <c r="H93" i="20"/>
  <c r="H83" i="20"/>
  <c r="H44" i="20"/>
  <c r="H45" i="20"/>
  <c r="H62" i="20"/>
  <c r="H101" i="20"/>
  <c r="E88" i="20"/>
  <c r="E105" i="20"/>
  <c r="H91" i="20"/>
  <c r="H84" i="20"/>
  <c r="H87" i="20"/>
  <c r="H92" i="20"/>
  <c r="H90" i="20"/>
  <c r="H94" i="20"/>
  <c r="H86" i="20"/>
  <c r="H36" i="20"/>
  <c r="H41" i="20"/>
  <c r="H68" i="20"/>
  <c r="H55" i="20"/>
  <c r="H37" i="20"/>
  <c r="H60" i="20"/>
  <c r="H69" i="20"/>
  <c r="L37" i="20"/>
  <c r="H52" i="20"/>
  <c r="H66" i="20"/>
  <c r="E47" i="20"/>
  <c r="H67" i="20"/>
  <c r="H39" i="20"/>
  <c r="H38" i="20"/>
  <c r="L10" i="20"/>
  <c r="H99" i="20"/>
  <c r="H51" i="20"/>
  <c r="L87" i="20"/>
  <c r="L39" i="20"/>
  <c r="H57" i="20"/>
  <c r="H82" i="20"/>
  <c r="H65" i="20"/>
  <c r="E59" i="20"/>
  <c r="H59" i="20" l="1"/>
  <c r="G59" i="20"/>
  <c r="G63" i="20" s="1"/>
  <c r="G97" i="20"/>
  <c r="H53" i="20"/>
  <c r="H105" i="20"/>
  <c r="E63" i="20"/>
  <c r="H71" i="20"/>
  <c r="H47" i="20"/>
  <c r="H88" i="20"/>
  <c r="H63" i="20" l="1"/>
  <c r="E95" i="20" l="1"/>
  <c r="E96" i="20" l="1"/>
  <c r="E97" i="20" s="1"/>
  <c r="H97" i="20" s="1"/>
  <c r="H95" i="20"/>
  <c r="W132" i="1"/>
  <c r="S132" i="1"/>
  <c r="H96" i="20" l="1"/>
  <c r="E16" i="20" l="1"/>
  <c r="R16" i="1"/>
  <c r="H16" i="20" l="1"/>
  <c r="G16" i="20"/>
  <c r="R126" i="1"/>
  <c r="R117" i="1" l="1"/>
  <c r="R114" i="1"/>
  <c r="R121" i="1" l="1"/>
  <c r="R107" i="1"/>
  <c r="L11" i="20" l="1"/>
  <c r="L59" i="20"/>
  <c r="L32" i="20"/>
  <c r="K57" i="20"/>
  <c r="K58" i="20"/>
  <c r="K102" i="20"/>
  <c r="J57" i="20"/>
  <c r="J58" i="20"/>
  <c r="J19" i="20"/>
  <c r="J20" i="20" s="1"/>
  <c r="J104" i="20"/>
  <c r="L104" i="20" s="1"/>
  <c r="J110" i="20" l="1"/>
  <c r="L58" i="20"/>
  <c r="J105" i="20"/>
  <c r="J63" i="20"/>
  <c r="J72" i="20" s="1"/>
  <c r="K63" i="20"/>
  <c r="L57" i="20"/>
  <c r="K105" i="20"/>
  <c r="L99" i="20"/>
  <c r="L8" i="20"/>
  <c r="L14" i="20"/>
  <c r="L101" i="20" l="1"/>
  <c r="L105" i="20"/>
  <c r="L91" i="20"/>
  <c r="L85" i="20"/>
  <c r="L90" i="20" l="1"/>
  <c r="L16" i="20"/>
  <c r="L62" i="20"/>
  <c r="L86" i="20"/>
  <c r="L92" i="20"/>
  <c r="L46" i="20"/>
  <c r="L55" i="20"/>
  <c r="L36" i="20"/>
  <c r="L94" i="20"/>
  <c r="L93" i="20"/>
  <c r="L84" i="20"/>
  <c r="L83" i="20"/>
  <c r="L41" i="20"/>
  <c r="L69" i="20"/>
  <c r="L68" i="20"/>
  <c r="L67" i="20"/>
  <c r="L66" i="20"/>
  <c r="L52" i="20"/>
  <c r="L45" i="20"/>
  <c r="L96" i="20" l="1"/>
  <c r="L82" i="20"/>
  <c r="L71" i="20"/>
  <c r="L65" i="20"/>
  <c r="L60" i="20"/>
  <c r="L63" i="20"/>
  <c r="L53" i="20"/>
  <c r="L51" i="20"/>
  <c r="L44" i="20"/>
  <c r="L35" i="20"/>
  <c r="K38" i="20"/>
  <c r="K18" i="20"/>
  <c r="L18" i="20" s="1"/>
  <c r="K17" i="20"/>
  <c r="L17" i="20" s="1"/>
  <c r="L76" i="20" l="1"/>
  <c r="K42" i="20"/>
  <c r="K72" i="20" s="1"/>
  <c r="L38" i="20"/>
  <c r="K19" i="20"/>
  <c r="K20" i="20" s="1"/>
  <c r="L97" i="20"/>
  <c r="L88" i="20"/>
  <c r="K110" i="20" l="1"/>
  <c r="L20" i="20"/>
  <c r="L42" i="20"/>
  <c r="L19" i="20"/>
  <c r="L110" i="20" l="1"/>
  <c r="L47" i="20"/>
  <c r="L72" i="20"/>
  <c r="V56" i="1" l="1"/>
  <c r="U56" i="1"/>
  <c r="P56" i="1"/>
  <c r="W55" i="1"/>
  <c r="S55" i="1"/>
  <c r="W53" i="1"/>
  <c r="S53" i="1"/>
  <c r="W56" i="1" l="1"/>
  <c r="S56" i="1"/>
  <c r="S164" i="1" l="1"/>
  <c r="S162" i="1"/>
  <c r="S161" i="1"/>
  <c r="S155" i="1"/>
  <c r="S154" i="1"/>
  <c r="S153" i="1"/>
  <c r="S152" i="1"/>
  <c r="S151" i="1"/>
  <c r="S149" i="1"/>
  <c r="S146" i="1"/>
  <c r="S145" i="1"/>
  <c r="S144" i="1"/>
  <c r="S143" i="1"/>
  <c r="S142" i="1"/>
  <c r="S141" i="1"/>
  <c r="S136" i="1"/>
  <c r="S131" i="1"/>
  <c r="S130" i="1"/>
  <c r="S126" i="1"/>
  <c r="S120" i="1"/>
  <c r="S114" i="1"/>
  <c r="S113" i="1"/>
  <c r="S109" i="1"/>
  <c r="S106" i="1"/>
  <c r="S91" i="1"/>
  <c r="S83" i="1"/>
  <c r="S74" i="1"/>
  <c r="S73" i="1"/>
  <c r="S71" i="1"/>
  <c r="S70" i="1"/>
  <c r="S69" i="1"/>
  <c r="S66" i="1"/>
  <c r="S64" i="1"/>
  <c r="S63" i="1"/>
  <c r="S61" i="1"/>
  <c r="S60" i="1"/>
  <c r="S58" i="1"/>
  <c r="S48" i="1"/>
  <c r="S47" i="1"/>
  <c r="S46" i="1"/>
  <c r="S43" i="1"/>
  <c r="S41" i="1"/>
  <c r="S40" i="1"/>
  <c r="S39" i="1"/>
  <c r="S37" i="1"/>
  <c r="S16" i="1"/>
  <c r="W7" i="1"/>
  <c r="W164" i="1"/>
  <c r="W161" i="1"/>
  <c r="W155" i="1"/>
  <c r="W154" i="1"/>
  <c r="W153" i="1"/>
  <c r="W152" i="1"/>
  <c r="W151" i="1"/>
  <c r="W149" i="1"/>
  <c r="W146" i="1"/>
  <c r="W145" i="1"/>
  <c r="W144" i="1"/>
  <c r="W143" i="1"/>
  <c r="W142" i="1"/>
  <c r="W141" i="1"/>
  <c r="W136" i="1"/>
  <c r="W135" i="1"/>
  <c r="W134" i="1"/>
  <c r="W131" i="1"/>
  <c r="W130" i="1"/>
  <c r="W126" i="1"/>
  <c r="W120" i="1"/>
  <c r="W114" i="1"/>
  <c r="W113" i="1"/>
  <c r="W109" i="1"/>
  <c r="W106" i="1"/>
  <c r="W91" i="1"/>
  <c r="W88" i="1"/>
  <c r="W83" i="1"/>
  <c r="W74" i="1"/>
  <c r="W73" i="1"/>
  <c r="W71" i="1"/>
  <c r="W70" i="1"/>
  <c r="W69" i="1"/>
  <c r="W66" i="1"/>
  <c r="W64" i="1"/>
  <c r="W63" i="1"/>
  <c r="W61" i="1"/>
  <c r="W60" i="1"/>
  <c r="W58" i="1"/>
  <c r="W48" i="1"/>
  <c r="W47" i="1"/>
  <c r="W46" i="1"/>
  <c r="W43" i="1"/>
  <c r="W41" i="1"/>
  <c r="W40" i="1"/>
  <c r="W39" i="1"/>
  <c r="W37" i="1"/>
  <c r="W35" i="1"/>
  <c r="W32" i="1"/>
  <c r="W18" i="1"/>
  <c r="W17" i="1"/>
  <c r="W16" i="1"/>
  <c r="W13" i="1"/>
  <c r="W12" i="1"/>
  <c r="W11" i="1"/>
  <c r="W10" i="1"/>
  <c r="V14" i="1"/>
  <c r="V19" i="1"/>
  <c r="V44" i="1"/>
  <c r="V49" i="1"/>
  <c r="V67" i="1"/>
  <c r="V107" i="1"/>
  <c r="V137" i="1"/>
  <c r="V147" i="1"/>
  <c r="V156" i="1"/>
  <c r="V165" i="1"/>
  <c r="U165" i="1"/>
  <c r="U156" i="1"/>
  <c r="U147" i="1"/>
  <c r="U137" i="1"/>
  <c r="U121" i="1"/>
  <c r="J75" i="20" s="1"/>
  <c r="J79" i="20" s="1"/>
  <c r="U107" i="1"/>
  <c r="U92" i="1"/>
  <c r="U67" i="1"/>
  <c r="U49" i="1"/>
  <c r="U44" i="1"/>
  <c r="U19" i="1"/>
  <c r="U14" i="1"/>
  <c r="P165" i="1"/>
  <c r="P156" i="1"/>
  <c r="P147" i="1"/>
  <c r="P107" i="1"/>
  <c r="P67" i="1"/>
  <c r="P49" i="1"/>
  <c r="U138" i="1" l="1"/>
  <c r="C10" i="35" s="1"/>
  <c r="J107" i="20"/>
  <c r="J108" i="20" s="1"/>
  <c r="AI92" i="1"/>
  <c r="AI167" i="1" s="1"/>
  <c r="AH92" i="1"/>
  <c r="AH167" i="1" s="1"/>
  <c r="AJ92" i="1"/>
  <c r="AJ167" i="1" s="1"/>
  <c r="V78" i="1"/>
  <c r="U78" i="1"/>
  <c r="C9" i="35" s="1"/>
  <c r="S67" i="1"/>
  <c r="S107" i="1"/>
  <c r="U20" i="1"/>
  <c r="C5" i="35" s="1"/>
  <c r="S165" i="1"/>
  <c r="S156" i="1"/>
  <c r="W107" i="1"/>
  <c r="W67" i="1"/>
  <c r="W19" i="1"/>
  <c r="S49" i="1"/>
  <c r="W49" i="1"/>
  <c r="W137" i="1"/>
  <c r="W14" i="1"/>
  <c r="S147" i="1"/>
  <c r="W147" i="1"/>
  <c r="W156" i="1"/>
  <c r="W77" i="1"/>
  <c r="W44" i="1"/>
  <c r="V157" i="1"/>
  <c r="V20" i="1"/>
  <c r="V170" i="1" s="1"/>
  <c r="U157" i="1"/>
  <c r="C11" i="35" s="1"/>
  <c r="P157" i="1"/>
  <c r="B11" i="35" s="1"/>
  <c r="C12" i="35" l="1"/>
  <c r="U170" i="1"/>
  <c r="W170" i="1" s="1"/>
  <c r="W20" i="1"/>
  <c r="S157" i="1"/>
  <c r="W78" i="1"/>
  <c r="W157" i="1"/>
  <c r="C14" i="35" l="1"/>
  <c r="C23" i="35" s="1"/>
  <c r="J111" i="20"/>
  <c r="J112" i="20" s="1"/>
  <c r="F5" i="34" s="1"/>
  <c r="F7" i="34" s="1"/>
  <c r="F12" i="34" s="1"/>
  <c r="F14" i="34" l="1"/>
  <c r="J12" i="34"/>
  <c r="V92" i="1" l="1"/>
  <c r="W81" i="1"/>
  <c r="AK92" i="1" l="1"/>
  <c r="AK167" i="1" s="1"/>
  <c r="W92" i="1"/>
  <c r="S119" i="1" l="1"/>
  <c r="S117" i="1"/>
  <c r="P121" i="1"/>
  <c r="P134" i="1" s="1"/>
  <c r="S121" i="1" l="1"/>
  <c r="AE134" i="1" l="1"/>
  <c r="AF134" i="1"/>
  <c r="AD134" i="1"/>
  <c r="W119" i="1"/>
  <c r="R135" i="1" l="1"/>
  <c r="S135" i="1"/>
  <c r="V121" i="1"/>
  <c r="V138" i="1" s="1"/>
  <c r="W117" i="1"/>
  <c r="L78" i="20" l="1"/>
  <c r="K75" i="20"/>
  <c r="K79" i="20" s="1"/>
  <c r="W121" i="1"/>
  <c r="L75" i="20" l="1"/>
  <c r="L79" i="20"/>
  <c r="K107" i="20" l="1"/>
  <c r="E10" i="20"/>
  <c r="E11" i="20"/>
  <c r="E12" i="20"/>
  <c r="E13" i="20"/>
  <c r="L107" i="20" l="1"/>
  <c r="K108" i="20"/>
  <c r="L108" i="20" s="1"/>
  <c r="K111" i="20"/>
  <c r="K112" i="20" s="1"/>
  <c r="L111" i="20" l="1"/>
  <c r="S12" i="1"/>
  <c r="F12" i="20"/>
  <c r="R12" i="1"/>
  <c r="S13" i="1"/>
  <c r="R13" i="1"/>
  <c r="F13" i="20"/>
  <c r="S10" i="1"/>
  <c r="F10" i="20"/>
  <c r="R10" i="1"/>
  <c r="S11" i="1"/>
  <c r="F11" i="20"/>
  <c r="R11" i="1"/>
  <c r="H10" i="20" l="1"/>
  <c r="G10" i="20"/>
  <c r="H13" i="20"/>
  <c r="G13" i="20"/>
  <c r="H12" i="20"/>
  <c r="G12" i="20"/>
  <c r="H11" i="20"/>
  <c r="G11" i="20"/>
  <c r="P44" i="1"/>
  <c r="E35" i="20"/>
  <c r="S35" i="1"/>
  <c r="F35" i="20"/>
  <c r="F42" i="20" s="1"/>
  <c r="Q44" i="1"/>
  <c r="R35" i="1"/>
  <c r="R44" i="1" s="1"/>
  <c r="R78" i="1" s="1"/>
  <c r="E42" i="20" l="1"/>
  <c r="E72" i="20" s="1"/>
  <c r="G35" i="20"/>
  <c r="G42" i="20" s="1"/>
  <c r="G72" i="20" s="1"/>
  <c r="S44" i="1"/>
  <c r="Q78" i="1"/>
  <c r="H35" i="20"/>
  <c r="F72" i="20"/>
  <c r="D9" i="35" l="1"/>
  <c r="H42" i="20"/>
  <c r="H72" i="20"/>
  <c r="S134" i="1" l="1"/>
  <c r="R134" i="1"/>
  <c r="R137" i="1" s="1"/>
  <c r="P137" i="1"/>
  <c r="S137" i="1" l="1"/>
  <c r="U167" i="1" l="1"/>
  <c r="U171" i="1" l="1"/>
  <c r="U172" i="1" s="1"/>
  <c r="U168" i="1"/>
  <c r="V167" i="1" l="1"/>
  <c r="W167" i="1" s="1"/>
  <c r="W138" i="1"/>
  <c r="V171" i="1" l="1"/>
  <c r="W171" i="1" s="1"/>
  <c r="V168" i="1"/>
  <c r="V172" i="1" l="1"/>
  <c r="E6" i="21"/>
  <c r="E7" i="21" s="1"/>
  <c r="E11" i="21" s="1"/>
  <c r="E16" i="21" s="1"/>
  <c r="E18" i="21" l="1"/>
  <c r="E19" i="21" s="1"/>
  <c r="E34" i="21" l="1"/>
  <c r="E35" i="21" s="1"/>
  <c r="E37" i="21" s="1"/>
  <c r="E47" i="21"/>
  <c r="E50" i="21" s="1"/>
  <c r="E51" i="21" s="1"/>
  <c r="E38" i="21" l="1"/>
  <c r="E39" i="21" s="1"/>
  <c r="E61" i="21"/>
  <c r="E65" i="21" s="1"/>
  <c r="S77" i="1"/>
  <c r="P78" i="1"/>
  <c r="B9" i="35" l="1"/>
  <c r="S78" i="1"/>
  <c r="F8" i="20"/>
  <c r="E8" i="20"/>
  <c r="Q14" i="1"/>
  <c r="E14" i="20" l="1"/>
  <c r="G8" i="20"/>
  <c r="G14" i="20" s="1"/>
  <c r="H8" i="20"/>
  <c r="F14" i="20"/>
  <c r="P14" i="1"/>
  <c r="S7" i="1"/>
  <c r="R7" i="1"/>
  <c r="R14" i="1" s="1"/>
  <c r="H14" i="20" l="1"/>
  <c r="S14" i="1"/>
  <c r="S18" i="1"/>
  <c r="S17" i="1"/>
  <c r="F17" i="20"/>
  <c r="H17" i="20" s="1"/>
  <c r="F18" i="20"/>
  <c r="H18" i="20" s="1"/>
  <c r="E17" i="20"/>
  <c r="R18" i="1"/>
  <c r="E18" i="20"/>
  <c r="Q19" i="1"/>
  <c r="Q20" i="1" s="1"/>
  <c r="G17" i="20" l="1"/>
  <c r="D5" i="35"/>
  <c r="F19" i="20"/>
  <c r="F20" i="20" s="1"/>
  <c r="P19" i="1"/>
  <c r="P20" i="1" s="1"/>
  <c r="B5" i="35" s="1"/>
  <c r="Q170" i="1"/>
  <c r="R17" i="1"/>
  <c r="F110" i="20" l="1"/>
  <c r="C32" i="1"/>
  <c r="C32" i="20" s="1"/>
  <c r="E19" i="20"/>
  <c r="E20" i="20" s="1"/>
  <c r="E110" i="20" s="1"/>
  <c r="G19" i="20"/>
  <c r="G20" i="20" s="1"/>
  <c r="G110" i="20" s="1"/>
  <c r="R19" i="1"/>
  <c r="R20" i="1" s="1"/>
  <c r="P170" i="1"/>
  <c r="S19" i="1"/>
  <c r="S20" i="1"/>
  <c r="H20" i="20" l="1"/>
  <c r="H19" i="20"/>
  <c r="H110" i="20"/>
  <c r="R170" i="1"/>
  <c r="S170" i="1"/>
  <c r="G32" i="20" l="1"/>
  <c r="AF32" i="1"/>
  <c r="S32" i="1"/>
  <c r="H32" i="20" l="1"/>
  <c r="J11" i="34" l="1"/>
  <c r="J14" i="34" s="1"/>
  <c r="H14" i="34"/>
  <c r="N11" i="21"/>
  <c r="N12" i="21" s="1"/>
  <c r="N16" i="21" l="1"/>
  <c r="N18" i="21" l="1"/>
  <c r="N19" i="21" s="1"/>
  <c r="N34" i="21" l="1"/>
  <c r="N35" i="21" s="1"/>
  <c r="N37" i="21" s="1"/>
  <c r="N38" i="21" s="1"/>
  <c r="N47" i="21"/>
  <c r="N50" i="21" s="1"/>
  <c r="N51" i="21" s="1"/>
  <c r="N40" i="21"/>
  <c r="N61" i="21" l="1"/>
  <c r="N62" i="21" s="1"/>
  <c r="N63" i="21" s="1"/>
  <c r="K12" i="21"/>
  <c r="R12" i="21"/>
  <c r="K16" i="21"/>
  <c r="Q81" i="1" l="1"/>
  <c r="K18" i="21"/>
  <c r="Q84" i="1" s="1"/>
  <c r="F75" i="20" l="1"/>
  <c r="K19" i="21"/>
  <c r="K34" i="21" l="1"/>
  <c r="K35" i="21" s="1"/>
  <c r="K37" i="21" s="1"/>
  <c r="K40" i="21"/>
  <c r="K47" i="21"/>
  <c r="K50" i="21" s="1"/>
  <c r="K51" i="21" s="1"/>
  <c r="Q88" i="1" s="1"/>
  <c r="K61" i="21" l="1"/>
  <c r="L62" i="21" s="1"/>
  <c r="L63" i="21" s="1"/>
  <c r="Q86" i="1"/>
  <c r="K38" i="21"/>
  <c r="Q92" i="1" l="1"/>
  <c r="F76" i="20"/>
  <c r="K62" i="21"/>
  <c r="K63" i="21" s="1"/>
  <c r="R62" i="21"/>
  <c r="R63" i="21" s="1"/>
  <c r="Q138" i="1" l="1"/>
  <c r="F79" i="20"/>
  <c r="D10" i="35" l="1"/>
  <c r="D12" i="35" s="1"/>
  <c r="D14" i="35" s="1"/>
  <c r="D23" i="35" s="1"/>
  <c r="Q167" i="1"/>
  <c r="F107" i="20"/>
  <c r="F108" i="20" s="1"/>
  <c r="F111" i="20" l="1"/>
  <c r="H108" i="20"/>
  <c r="Q171" i="1"/>
  <c r="Q168" i="1"/>
  <c r="F112" i="20" l="1"/>
  <c r="Q172" i="1"/>
  <c r="S7" i="21"/>
  <c r="S4" i="21" s="1"/>
  <c r="U7" i="21"/>
  <c r="U4" i="21" s="1"/>
  <c r="T7" i="21"/>
  <c r="T4" i="21" s="1"/>
  <c r="V11" i="21"/>
  <c r="V4" i="21" l="1"/>
  <c r="Q4" i="21" s="1"/>
  <c r="Q7" i="21" s="1"/>
  <c r="W4" i="21" s="1"/>
  <c r="S11" i="21"/>
  <c r="S12" i="21" s="1"/>
  <c r="T11" i="21"/>
  <c r="T16" i="21" s="1"/>
  <c r="T18" i="21" s="1"/>
  <c r="U11" i="21"/>
  <c r="V16" i="21"/>
  <c r="V12" i="21"/>
  <c r="Q11" i="21" l="1"/>
  <c r="W16" i="21" s="1"/>
  <c r="U12" i="21"/>
  <c r="U16" i="21"/>
  <c r="T12" i="21"/>
  <c r="T19" i="21"/>
  <c r="S16" i="21"/>
  <c r="S18" i="21" s="1"/>
  <c r="S19" i="21" s="1"/>
  <c r="V18" i="21"/>
  <c r="V19" i="21" s="1"/>
  <c r="W3" i="21" l="1"/>
  <c r="T34" i="21"/>
  <c r="T35" i="21" s="1"/>
  <c r="T37" i="21" s="1"/>
  <c r="T38" i="21" s="1"/>
  <c r="T47" i="21"/>
  <c r="T50" i="21" s="1"/>
  <c r="T51" i="21" s="1"/>
  <c r="T40" i="21"/>
  <c r="Q12" i="21"/>
  <c r="Q16" i="21"/>
  <c r="Q18" i="21" s="1"/>
  <c r="P84" i="1" s="1"/>
  <c r="U18" i="21"/>
  <c r="U19" i="21" s="1"/>
  <c r="S40" i="21"/>
  <c r="S34" i="21"/>
  <c r="S35" i="21" s="1"/>
  <c r="S37" i="21" s="1"/>
  <c r="S38" i="21" s="1"/>
  <c r="S47" i="21"/>
  <c r="S50" i="21" s="1"/>
  <c r="S51" i="21" s="1"/>
  <c r="V40" i="21"/>
  <c r="V34" i="21"/>
  <c r="V35" i="21" s="1"/>
  <c r="V37" i="21" s="1"/>
  <c r="V38" i="21" s="1"/>
  <c r="V47" i="21"/>
  <c r="V50" i="21" s="1"/>
  <c r="V51" i="21" s="1"/>
  <c r="V61" i="21" l="1"/>
  <c r="V62" i="21" s="1"/>
  <c r="V63" i="21" s="1"/>
  <c r="S61" i="21"/>
  <c r="T61" i="21"/>
  <c r="T62" i="21" s="1"/>
  <c r="T63" i="21" s="1"/>
  <c r="P81" i="1"/>
  <c r="U47" i="21"/>
  <c r="U50" i="21" s="1"/>
  <c r="U51" i="21" s="1"/>
  <c r="U40" i="21"/>
  <c r="U34" i="21"/>
  <c r="U35" i="21" s="1"/>
  <c r="U37" i="21" s="1"/>
  <c r="U38" i="21" s="1"/>
  <c r="Q19" i="21"/>
  <c r="S62" i="21"/>
  <c r="S63" i="21" s="1"/>
  <c r="R84" i="1"/>
  <c r="S84" i="1"/>
  <c r="U61" i="21" l="1"/>
  <c r="U62" i="21" s="1"/>
  <c r="U63" i="21" s="1"/>
  <c r="Q34" i="21"/>
  <c r="Q35" i="21" s="1"/>
  <c r="Q37" i="21" s="1"/>
  <c r="Q38" i="21" s="1"/>
  <c r="E75" i="20"/>
  <c r="G75" i="20" s="1"/>
  <c r="D5" i="24"/>
  <c r="Q47" i="21"/>
  <c r="Q50" i="21" s="1"/>
  <c r="Q51" i="21" s="1"/>
  <c r="P88" i="1" s="1"/>
  <c r="S88" i="1" s="1"/>
  <c r="C5" i="24"/>
  <c r="S81" i="1"/>
  <c r="R81" i="1"/>
  <c r="Q40" i="21"/>
  <c r="P86" i="1" s="1"/>
  <c r="Q61" i="21" l="1"/>
  <c r="Q62" i="21" s="1"/>
  <c r="Q63" i="21" s="1"/>
  <c r="R88" i="1"/>
  <c r="H75" i="20"/>
  <c r="S86" i="1"/>
  <c r="R86" i="1"/>
  <c r="C6" i="24"/>
  <c r="E76" i="20"/>
  <c r="P92" i="1"/>
  <c r="R92" i="1" l="1"/>
  <c r="R138" i="1" s="1"/>
  <c r="R167" i="1" s="1"/>
  <c r="R168" i="1" s="1"/>
  <c r="AG92" i="1"/>
  <c r="AG167" i="1" s="1"/>
  <c r="AE92" i="1"/>
  <c r="AE167" i="1" s="1"/>
  <c r="P138" i="1"/>
  <c r="S92" i="1"/>
  <c r="AD92" i="1"/>
  <c r="AD167" i="1" s="1"/>
  <c r="AF92" i="1"/>
  <c r="AF167" i="1" s="1"/>
  <c r="G76" i="20"/>
  <c r="H76" i="20"/>
  <c r="E79" i="20"/>
  <c r="H79" i="20" s="1"/>
  <c r="G79" i="20" l="1"/>
  <c r="G107" i="20" s="1"/>
  <c r="G108" i="20" s="1"/>
  <c r="E107" i="20"/>
  <c r="S138" i="1"/>
  <c r="P167" i="1"/>
  <c r="B10" i="35"/>
  <c r="B12" i="35" s="1"/>
  <c r="B14" i="35" s="1"/>
  <c r="B23" i="35" s="1"/>
  <c r="H107" i="20" l="1"/>
  <c r="E108" i="20"/>
  <c r="G111" i="20"/>
  <c r="G112" i="20" s="1"/>
  <c r="S167" i="1"/>
  <c r="P168" i="1"/>
  <c r="S168" i="1" s="1"/>
  <c r="P171" i="1"/>
  <c r="E111" i="20"/>
  <c r="AD168" i="1"/>
  <c r="E112" i="20" l="1"/>
  <c r="H111" i="20"/>
  <c r="P172" i="1"/>
  <c r="S171" i="1"/>
  <c r="R171" i="1"/>
  <c r="H5" i="34" l="1"/>
  <c r="H7" i="34" s="1"/>
  <c r="S172" i="1"/>
  <c r="R172" i="1"/>
</calcChain>
</file>

<file path=xl/comments1.xml><?xml version="1.0" encoding="utf-8"?>
<comments xmlns="http://schemas.openxmlformats.org/spreadsheetml/2006/main">
  <authors>
    <author>Dawn Jacobson</author>
  </authors>
  <commentList>
    <comment ref="G83"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2.xml><?xml version="1.0" encoding="utf-8"?>
<comments xmlns="http://schemas.openxmlformats.org/spreadsheetml/2006/main">
  <authors>
    <author>Dawn Jacobson</author>
  </authors>
  <commentList>
    <comment ref="D26"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49" authorId="0">
      <text>
        <r>
          <rPr>
            <b/>
            <sz val="9"/>
            <color indexed="81"/>
            <rFont val="Tahoma"/>
            <family val="2"/>
          </rPr>
          <t>Dawn Jacobson:</t>
        </r>
        <r>
          <rPr>
            <sz val="9"/>
            <color indexed="81"/>
            <rFont val="Tahoma"/>
            <family val="2"/>
          </rPr>
          <t xml:space="preserve">
Don't Include (Comp Package assumed all was income nothing to Pension)</t>
        </r>
      </text>
    </comment>
    <comment ref="H49" authorId="0">
      <text>
        <r>
          <rPr>
            <b/>
            <sz val="9"/>
            <color indexed="81"/>
            <rFont val="Tahoma"/>
            <family val="2"/>
          </rPr>
          <t>Dawn Jacobson:</t>
        </r>
        <r>
          <rPr>
            <sz val="9"/>
            <color indexed="81"/>
            <rFont val="Tahoma"/>
            <family val="2"/>
          </rPr>
          <t xml:space="preserve">
Don't Include (Comp Package assumed all was income nothing to Pension)</t>
        </r>
      </text>
    </comment>
    <comment ref="I49" authorId="0">
      <text>
        <r>
          <rPr>
            <b/>
            <sz val="9"/>
            <color indexed="81"/>
            <rFont val="Tahoma"/>
            <family val="2"/>
          </rPr>
          <t>Dawn Jacobson:</t>
        </r>
        <r>
          <rPr>
            <sz val="9"/>
            <color indexed="81"/>
            <rFont val="Tahoma"/>
            <family val="2"/>
          </rPr>
          <t xml:space="preserve">
Don't Include (Comp Package assumed all was income nothing to Pension)</t>
        </r>
      </text>
    </comment>
    <comment ref="K49" authorId="0">
      <text>
        <r>
          <rPr>
            <b/>
            <sz val="9"/>
            <color indexed="81"/>
            <rFont val="Tahoma"/>
            <family val="2"/>
          </rPr>
          <t>Dawn Jacobson:</t>
        </r>
        <r>
          <rPr>
            <sz val="9"/>
            <color indexed="81"/>
            <rFont val="Tahoma"/>
            <family val="2"/>
          </rPr>
          <t xml:space="preserve">
Don't Include (Comp Package assumed all was income nothing to Pension)</t>
        </r>
      </text>
    </comment>
    <comment ref="L49" authorId="0">
      <text>
        <r>
          <rPr>
            <b/>
            <sz val="9"/>
            <color indexed="81"/>
            <rFont val="Tahoma"/>
            <family val="2"/>
          </rPr>
          <t>Dawn Jacobson:</t>
        </r>
        <r>
          <rPr>
            <sz val="9"/>
            <color indexed="81"/>
            <rFont val="Tahoma"/>
            <family val="2"/>
          </rPr>
          <t xml:space="preserve">
Don't Include (Comp Package assumed all was income nothing to Pension)</t>
        </r>
      </text>
    </comment>
    <comment ref="M49" authorId="0">
      <text>
        <r>
          <rPr>
            <b/>
            <sz val="9"/>
            <color indexed="81"/>
            <rFont val="Tahoma"/>
            <family val="2"/>
          </rPr>
          <t>Dawn Jacobson:</t>
        </r>
        <r>
          <rPr>
            <sz val="9"/>
            <color indexed="81"/>
            <rFont val="Tahoma"/>
            <family val="2"/>
          </rPr>
          <t xml:space="preserve">
Don't Include (Comp Package assumed all was income nothing to Pension)</t>
        </r>
      </text>
    </comment>
    <comment ref="N49" authorId="0">
      <text>
        <r>
          <rPr>
            <b/>
            <sz val="9"/>
            <color indexed="81"/>
            <rFont val="Tahoma"/>
            <family val="2"/>
          </rPr>
          <t>Dawn Jacobson:</t>
        </r>
        <r>
          <rPr>
            <sz val="9"/>
            <color indexed="81"/>
            <rFont val="Tahoma"/>
            <family val="2"/>
          </rPr>
          <t xml:space="preserve">
Don't Include (Comp Package assumed all was income nothing to Pension)</t>
        </r>
      </text>
    </comment>
    <comment ref="O49" authorId="0">
      <text>
        <r>
          <rPr>
            <b/>
            <sz val="9"/>
            <color indexed="81"/>
            <rFont val="Tahoma"/>
            <family val="2"/>
          </rPr>
          <t>Dawn Jacobson:</t>
        </r>
        <r>
          <rPr>
            <sz val="9"/>
            <color indexed="81"/>
            <rFont val="Tahoma"/>
            <family val="2"/>
          </rPr>
          <t xml:space="preserve">
Don't Include (Comp Package assumed all was income nothing to Pension)</t>
        </r>
      </text>
    </comment>
    <comment ref="P49" authorId="0">
      <text>
        <r>
          <rPr>
            <b/>
            <sz val="9"/>
            <color indexed="81"/>
            <rFont val="Tahoma"/>
            <family val="2"/>
          </rPr>
          <t>Dawn Jacobson:</t>
        </r>
        <r>
          <rPr>
            <sz val="9"/>
            <color indexed="81"/>
            <rFont val="Tahoma"/>
            <family val="2"/>
          </rPr>
          <t xml:space="preserve">
Don't Include (Comp Package assumed all was income nothing to Pension)</t>
        </r>
      </text>
    </comment>
    <comment ref="Q49" authorId="0">
      <text>
        <r>
          <rPr>
            <b/>
            <sz val="9"/>
            <color indexed="81"/>
            <rFont val="Tahoma"/>
            <family val="2"/>
          </rPr>
          <t>Dawn Jacobson:</t>
        </r>
        <r>
          <rPr>
            <sz val="9"/>
            <color indexed="81"/>
            <rFont val="Tahoma"/>
            <family val="2"/>
          </rPr>
          <t xml:space="preserve">
Don't Include (Comp Package assumed all was income nothing to Pension)</t>
        </r>
      </text>
    </comment>
    <comment ref="R49" authorId="0">
      <text>
        <r>
          <rPr>
            <b/>
            <sz val="9"/>
            <color indexed="81"/>
            <rFont val="Tahoma"/>
            <family val="2"/>
          </rPr>
          <t>Dawn Jacobson:</t>
        </r>
        <r>
          <rPr>
            <sz val="9"/>
            <color indexed="81"/>
            <rFont val="Tahoma"/>
            <family val="2"/>
          </rPr>
          <t xml:space="preserve">
Don't Include (Comp Package assumed all was income nothing to Pension)</t>
        </r>
      </text>
    </comment>
    <comment ref="S49" authorId="0">
      <text>
        <r>
          <rPr>
            <b/>
            <sz val="9"/>
            <color indexed="81"/>
            <rFont val="Tahoma"/>
            <family val="2"/>
          </rPr>
          <t>Dawn Jacobson:</t>
        </r>
        <r>
          <rPr>
            <sz val="9"/>
            <color indexed="81"/>
            <rFont val="Tahoma"/>
            <family val="2"/>
          </rPr>
          <t xml:space="preserve">
Don't Include (Comp Package assumed all was income nothing to Pension)</t>
        </r>
      </text>
    </comment>
    <comment ref="T49" authorId="0">
      <text>
        <r>
          <rPr>
            <b/>
            <sz val="9"/>
            <color indexed="81"/>
            <rFont val="Tahoma"/>
            <family val="2"/>
          </rPr>
          <t>Dawn Jacobson:</t>
        </r>
        <r>
          <rPr>
            <sz val="9"/>
            <color indexed="81"/>
            <rFont val="Tahoma"/>
            <family val="2"/>
          </rPr>
          <t xml:space="preserve">
Don't Include (Comp Package assumed all was income nothing to Pension)</t>
        </r>
      </text>
    </comment>
    <comment ref="U49" authorId="0">
      <text>
        <r>
          <rPr>
            <b/>
            <sz val="9"/>
            <color indexed="81"/>
            <rFont val="Tahoma"/>
            <family val="2"/>
          </rPr>
          <t>Dawn Jacobson:</t>
        </r>
        <r>
          <rPr>
            <sz val="9"/>
            <color indexed="81"/>
            <rFont val="Tahoma"/>
            <family val="2"/>
          </rPr>
          <t xml:space="preserve">
Don't Include (Comp Package assumed all was income nothing to Pension)</t>
        </r>
      </text>
    </comment>
    <comment ref="V49"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3.xml><?xml version="1.0" encoding="utf-8"?>
<comments xmlns="http://schemas.openxmlformats.org/spreadsheetml/2006/main">
  <authors>
    <author>Dawn Jacobson</author>
  </authors>
  <commentList>
    <comment ref="B24"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comments4.xml><?xml version="1.0" encoding="utf-8"?>
<comments xmlns="http://schemas.openxmlformats.org/spreadsheetml/2006/main">
  <authors>
    <author>Dawn Jacobson</author>
  </authors>
  <commentList>
    <comment ref="B10" authorId="0">
      <text>
        <r>
          <rPr>
            <b/>
            <sz val="16"/>
            <color indexed="81"/>
            <rFont val="Tahoma"/>
            <family val="2"/>
          </rPr>
          <t>Dawn Jacobson:</t>
        </r>
        <r>
          <rPr>
            <sz val="16"/>
            <color indexed="81"/>
            <rFont val="Tahoma"/>
            <family val="2"/>
          </rPr>
          <t xml:space="preserve">
Intended to cover unexpected emergency type facility needs.  To be used only when the Operating expense line item "Building Repairs" is not sufficient to cover the unexpected needs for the year.</t>
        </r>
      </text>
    </comment>
    <comment ref="B11" authorId="0">
      <text>
        <r>
          <rPr>
            <b/>
            <sz val="16"/>
            <color indexed="81"/>
            <rFont val="Tahoma"/>
            <family val="2"/>
          </rPr>
          <t>Dawn Jacobson:</t>
        </r>
        <r>
          <rPr>
            <sz val="16"/>
            <color indexed="81"/>
            <rFont val="Tahoma"/>
            <family val="2"/>
          </rPr>
          <t xml:space="preserve">
Used when Expenses exceed Income in a given year.  This should be to solve a temporary problem and not on-going losses or budget gaps.</t>
        </r>
      </text>
    </comment>
    <comment ref="B12" authorId="0">
      <text>
        <r>
          <rPr>
            <b/>
            <sz val="16"/>
            <color indexed="81"/>
            <rFont val="Tahoma"/>
            <family val="2"/>
          </rPr>
          <t>Dawn Jacobson:</t>
        </r>
        <r>
          <rPr>
            <sz val="16"/>
            <color indexed="81"/>
            <rFont val="Tahoma"/>
            <family val="2"/>
          </rPr>
          <t xml:space="preserve">
Planned, large building and grounds needs.  Can include funds generated from Capital Campaigns/Appeals for example.  This is not intended to cover unexpected or emergency facilities needs.  These expenses should be in a long term (5 year) plan for example.</t>
        </r>
      </text>
    </comment>
    <comment ref="B13" authorId="0">
      <text>
        <r>
          <rPr>
            <b/>
            <sz val="9"/>
            <color indexed="81"/>
            <rFont val="Tahoma"/>
            <family val="2"/>
          </rPr>
          <t>Dawn Jacobson:</t>
        </r>
        <r>
          <rPr>
            <sz val="9"/>
            <color indexed="81"/>
            <rFont val="Tahoma"/>
            <family val="2"/>
          </rPr>
          <t xml:space="preserve">
</t>
        </r>
        <r>
          <rPr>
            <sz val="16"/>
            <color indexed="81"/>
            <rFont val="Tahoma"/>
            <family val="2"/>
          </rPr>
          <t>To cover unforeseen Medical and Dental changes for the ministry staff.  Examples:   Changing from using spouses covereage to LCR Insurance, Changes due to qualifying events, etc.</t>
        </r>
      </text>
    </comment>
  </commentList>
</comments>
</file>

<file path=xl/sharedStrings.xml><?xml version="1.0" encoding="utf-8"?>
<sst xmlns="http://schemas.openxmlformats.org/spreadsheetml/2006/main" count="968" uniqueCount="612">
  <si>
    <t>Income</t>
  </si>
  <si>
    <t>Envelope Giving</t>
  </si>
  <si>
    <t>Easter Offerings</t>
  </si>
  <si>
    <t>Thanksgiving Offerings</t>
  </si>
  <si>
    <t>Christmas Offerings</t>
  </si>
  <si>
    <t>Lenten Offerings</t>
  </si>
  <si>
    <t>Total Envelope Giving</t>
  </si>
  <si>
    <t>Misc Income</t>
  </si>
  <si>
    <t>Total Misc Income</t>
  </si>
  <si>
    <t>Current Investment Income</t>
  </si>
  <si>
    <t>TOTAL INCOME</t>
  </si>
  <si>
    <t>Expenses</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</si>
  <si>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</si>
  <si>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</si>
  <si>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</si>
  <si>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</si>
  <si>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</si>
  <si>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</si>
  <si>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</si>
  <si>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</si>
  <si>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</si>
  <si>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</si>
  <si>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</si>
  <si>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</si>
  <si>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</si>
  <si>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</si>
  <si>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</si>
  <si>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</si>
  <si>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</si>
  <si>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</si>
  <si>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</si>
  <si>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</si>
  <si>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</si>
  <si>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</si>
  <si>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</si>
  <si>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</si>
  <si>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</si>
  <si>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</si>
  <si>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</si>
  <si>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</si>
  <si>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</si>
  <si>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</si>
  <si>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</si>
  <si>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</si>
  <si>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</si>
  <si>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</si>
  <si>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</si>
  <si>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</si>
  <si>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</si>
  <si>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</si>
  <si>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</si>
  <si>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</si>
  <si>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</si>
  <si>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</si>
  <si>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</si>
  <si>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</si>
  <si>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</si>
  <si>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</si>
  <si>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</si>
  <si>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</si>
  <si>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</si>
  <si>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</si>
  <si>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</si>
  <si>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</si>
  <si>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</si>
  <si>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</si>
  <si>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</si>
  <si>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</si>
  <si>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</si>
  <si>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</si>
  <si>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</si>
  <si>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</si>
  <si>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</si>
  <si>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</si>
  <si>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</si>
  <si>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</si>
  <si>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</si>
  <si>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</si>
  <si>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</si>
  <si>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</si>
  <si>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</si>
  <si>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</si>
  <si>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</si>
  <si>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</si>
  <si>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</si>
  <si>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</si>
  <si>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</si>
  <si>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</si>
  <si>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</si>
  <si>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</si>
  <si>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</si>
  <si>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</si>
  <si>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</si>
  <si>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</si>
  <si>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</si>
  <si>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</si>
  <si>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</si>
  <si>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</si>
  <si>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</si>
  <si>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</si>
  <si>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</si>
  <si>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</si>
  <si>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</si>
  <si>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</si>
  <si>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</si>
  <si>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</si>
  <si>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</si>
  <si>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</si>
  <si>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</si>
  <si>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</si>
  <si>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</si>
  <si>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</si>
  <si>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</si>
  <si>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</si>
  <si>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</si>
  <si>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</si>
  <si>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</si>
  <si>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</si>
  <si>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</si>
  <si>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</si>
  <si>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</si>
  <si>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</si>
  <si>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</si>
  <si>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</si>
  <si>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</si>
  <si>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</si>
  <si>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</si>
  <si>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</si>
  <si>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</si>
  <si>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</si>
  <si>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</si>
  <si>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</si>
  <si>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</si>
  <si>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</si>
  <si>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</si>
  <si>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</si>
  <si>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</si>
  <si>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</si>
  <si>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</si>
  <si>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</si>
  <si>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</si>
  <si>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</si>
  <si>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</si>
  <si>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</si>
  <si>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</si>
  <si>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</si>
  <si>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</si>
  <si>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</si>
  <si>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</si>
  <si>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</si>
  <si>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</si>
  <si>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Operating Expenses</t>
  </si>
  <si>
    <t>% chg</t>
  </si>
  <si>
    <t>Avg Hrs/Wk</t>
  </si>
  <si>
    <t>$/hr</t>
  </si>
  <si>
    <t>Hourly</t>
  </si>
  <si>
    <t>Budget Year</t>
  </si>
  <si>
    <t># Wk/Yr</t>
  </si>
  <si>
    <t>Director of Youth Ministry</t>
  </si>
  <si>
    <t>Operating Income (Envelope Giving)</t>
  </si>
  <si>
    <t>Net Operating Income/(Loss)</t>
  </si>
  <si>
    <t>Housing</t>
  </si>
  <si>
    <t>Total</t>
  </si>
  <si>
    <t>Per Compensation Package</t>
  </si>
  <si>
    <t xml:space="preserve">Per Compensation Package.     </t>
  </si>
  <si>
    <t>Pension</t>
  </si>
  <si>
    <t>Other Insurance</t>
  </si>
  <si>
    <t>Medical &amp; Dental Insurance</t>
  </si>
  <si>
    <t>Retiree</t>
  </si>
  <si>
    <t>Medical/Dental premium
     Allowance</t>
  </si>
  <si>
    <t>Synod COLA</t>
  </si>
  <si>
    <t>Salary and Housing</t>
  </si>
  <si>
    <t>% of Year</t>
  </si>
  <si>
    <t>Insurance Provision</t>
  </si>
  <si>
    <t>Internship</t>
  </si>
  <si>
    <t>Parish/Finance Secretary</t>
  </si>
  <si>
    <t>Communications Secretary</t>
  </si>
  <si>
    <t>Finance Secretary Temp</t>
  </si>
  <si>
    <t>Pastor Transition</t>
  </si>
  <si>
    <t>Intern</t>
  </si>
  <si>
    <t>Total Intern</t>
  </si>
  <si>
    <t>Summer Bible School</t>
  </si>
  <si>
    <t>Total Income excluding Clearing Account</t>
  </si>
  <si>
    <t>Total Salary and Housing</t>
  </si>
  <si>
    <t>2019 Budget</t>
  </si>
  <si>
    <t>Annual Increase %</t>
  </si>
  <si>
    <t>Total Defined Comp.</t>
  </si>
  <si>
    <t>Health/Dental/Vision Difference</t>
  </si>
  <si>
    <t>Annually</t>
  </si>
  <si>
    <t>Health Premium Allowance</t>
  </si>
  <si>
    <t>To Pension</t>
  </si>
  <si>
    <t>Health Premium Allowance:</t>
  </si>
  <si>
    <t>Health Premium Allow added to Pension</t>
  </si>
  <si>
    <t>Total Pension</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</si>
  <si>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</si>
  <si>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</si>
  <si>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</si>
  <si>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</si>
  <si>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</si>
  <si>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SubTotal</t>
  </si>
  <si>
    <t>Health Premium Allow (Pension Portion only) @7.65%</t>
  </si>
  <si>
    <t>Health Care Premium Allow. (Portion expected to be included in Salary if not included in Defined Comp.)</t>
  </si>
  <si>
    <t>Pastor 2019</t>
  </si>
  <si>
    <t>Travel Allow</t>
  </si>
  <si>
    <t>Grand Total - Pastor</t>
  </si>
  <si>
    <t>Total Business Expenses</t>
  </si>
  <si>
    <t>Cell Phone Reimbursement</t>
  </si>
  <si>
    <t>In 2018 the FICA taxes were included with other staff.</t>
  </si>
  <si>
    <t>Comparable Figure (year over year)</t>
  </si>
  <si>
    <t>Additional Out of pocket differences</t>
  </si>
  <si>
    <t xml:space="preserve">    Sub-total</t>
  </si>
  <si>
    <t xml:space="preserve">Total:  </t>
  </si>
  <si>
    <t>Fees to Seminary</t>
  </si>
  <si>
    <t>This is the church's portion of SS.  It is not included in calculation line "Church - FICA/MED"</t>
  </si>
  <si>
    <t>Start Jan. 16, 2018</t>
  </si>
  <si>
    <t>$40/Month.</t>
  </si>
  <si>
    <t>Cell Phone $40/Month</t>
  </si>
  <si>
    <t>Cheryl</t>
  </si>
  <si>
    <t>Director of Contemporary Worship</t>
  </si>
  <si>
    <t>Projectionist:</t>
  </si>
  <si>
    <t xml:space="preserve"> </t>
  </si>
  <si>
    <t>Total Sundays</t>
  </si>
  <si>
    <t>May</t>
  </si>
  <si>
    <t>June</t>
  </si>
  <si>
    <t>July</t>
  </si>
  <si>
    <t>Sept</t>
  </si>
  <si>
    <t>Jan</t>
  </si>
  <si>
    <t>Feb</t>
  </si>
  <si>
    <t>Mar</t>
  </si>
  <si>
    <t>Apr</t>
  </si>
  <si>
    <t>Aug</t>
  </si>
  <si>
    <t>Oct</t>
  </si>
  <si>
    <t>Nov</t>
  </si>
  <si>
    <t>Dec</t>
  </si>
  <si>
    <t>Advent (Wednesdays)</t>
  </si>
  <si>
    <t>Lent (Wednesdays)</t>
  </si>
  <si>
    <t>Summer Weeks</t>
  </si>
  <si>
    <t>Don't Play for Advent</t>
  </si>
  <si>
    <t>Play All Lent Wednesdays</t>
  </si>
  <si>
    <t>Total Practice Pay</t>
  </si>
  <si>
    <t xml:space="preserve">    Pay per Practice per Person</t>
  </si>
  <si>
    <t>Per Person</t>
  </si>
  <si>
    <t>Dollars</t>
  </si>
  <si>
    <t>REVELATION BAND ESTIMATE:</t>
  </si>
  <si>
    <t>One day per week</t>
  </si>
  <si>
    <t>Total Practice Times</t>
  </si>
  <si>
    <t>Total Revelation Band Budget</t>
  </si>
  <si>
    <t xml:space="preserve">     Advent</t>
  </si>
  <si>
    <t xml:space="preserve">     Lent</t>
  </si>
  <si>
    <t xml:space="preserve">     Average Number of Funerals</t>
  </si>
  <si>
    <t xml:space="preserve">    Number of Band Members per event</t>
  </si>
  <si>
    <t>Per Pers.</t>
  </si>
  <si>
    <t>Average</t>
  </si>
  <si>
    <t>Excludes Summer Outside Services</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</si>
  <si>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</si>
  <si>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</si>
  <si>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</si>
  <si>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</si>
  <si>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</si>
  <si>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</si>
  <si>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Average per year</t>
  </si>
  <si>
    <t>Sound Support</t>
  </si>
  <si>
    <t>SUMMER/SUB BAND AND EQUIP. SET UP:</t>
  </si>
  <si>
    <t>Pool $</t>
  </si>
  <si>
    <t>Staff</t>
  </si>
  <si>
    <t>Music</t>
  </si>
  <si>
    <t>Summer/Sub Bands and Equip. Set up</t>
  </si>
  <si>
    <t>We will be paying one sound person per Sunday.</t>
  </si>
  <si>
    <t>MUSIC:</t>
  </si>
  <si>
    <t>None Salary Positions:</t>
  </si>
  <si>
    <t>Per Hour Rate</t>
  </si>
  <si>
    <t>NOTES</t>
  </si>
  <si>
    <t>Position</t>
  </si>
  <si>
    <t xml:space="preserve">     # of Summer Equip. set up people</t>
  </si>
  <si>
    <t>Professional Fees</t>
  </si>
  <si>
    <t>Love God</t>
  </si>
  <si>
    <t>Changing Lives</t>
  </si>
  <si>
    <t>Reaching Out</t>
  </si>
  <si>
    <t>Building</t>
  </si>
  <si>
    <t>Communion Education</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</si>
  <si>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</si>
  <si>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2020 Budget</t>
  </si>
  <si>
    <t>Year over Year</t>
  </si>
  <si>
    <t>Nov 29-Dec 24, 2020</t>
  </si>
  <si>
    <t>Feb 26-April 9, 2020</t>
  </si>
  <si>
    <t>Memorial Day (May 25) - Labor Day (Sept 7)</t>
  </si>
  <si>
    <t>Friday</t>
  </si>
  <si>
    <t>Christmas</t>
  </si>
  <si>
    <t>Added New for 2020 Budget</t>
  </si>
  <si>
    <t>Deb Toff - back up for Cheryl.</t>
  </si>
  <si>
    <t>Other Programs</t>
  </si>
  <si>
    <t>Telephone</t>
  </si>
  <si>
    <t>Neighborhood Camp</t>
  </si>
  <si>
    <t>First Call Theological</t>
  </si>
  <si>
    <t>Assoc. Pastor</t>
  </si>
  <si>
    <t>Total Assoc. Pastor</t>
  </si>
  <si>
    <t>FICA Tax</t>
  </si>
  <si>
    <t>FICA Tax:  7.65%</t>
  </si>
  <si>
    <t>Health Care</t>
  </si>
  <si>
    <t>Exclude Pastor and Assoc Pastor Salary for FICA/MED as this is included in their section.</t>
  </si>
  <si>
    <t>Retiree Support</t>
  </si>
  <si>
    <t>Includes Pastor, Custodians, Heather, Cheryl add Assoc in 2020</t>
  </si>
  <si>
    <t>Same as last year.  Copy paper reduction.  Less announcements/printing, etc.  Per Janice, we will need additional color printing in 2017 for key communication</t>
  </si>
  <si>
    <t>For 2018, Pastor Pahl has chosen to waive both Medical and Dental coverage.</t>
  </si>
  <si>
    <t>Grand Total - Assoc. Pastor</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</si>
  <si>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</si>
  <si>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</si>
  <si>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</si>
  <si>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</si>
  <si>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</si>
  <si>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</si>
  <si>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Notes and Details</t>
  </si>
  <si>
    <t>BAND AND OTHER MUSIC SUPPORT</t>
  </si>
  <si>
    <t>Jack Sensig</t>
  </si>
  <si>
    <t>Various Volunteers</t>
  </si>
  <si>
    <t>Jim Sodke.  Consider this position as part of staff.</t>
  </si>
  <si>
    <t>Consistent Staff:</t>
  </si>
  <si>
    <t>Changing Staff:</t>
  </si>
  <si>
    <t>All costs *</t>
  </si>
  <si>
    <t>Loose Offerings &amp; Misc.</t>
  </si>
  <si>
    <t>Office Administrator</t>
  </si>
  <si>
    <t>Office Temporary</t>
  </si>
  <si>
    <t xml:space="preserve">Greater Milwaukee Synod </t>
  </si>
  <si>
    <t>Holman's</t>
  </si>
  <si>
    <t>Lutherdale</t>
  </si>
  <si>
    <t>Racine Interfairth Coalition</t>
  </si>
  <si>
    <t>Good Samaritain</t>
  </si>
  <si>
    <t>HALO</t>
  </si>
  <si>
    <t>Tiny Homes</t>
  </si>
  <si>
    <t>Hospitality Center</t>
  </si>
  <si>
    <t xml:space="preserve">This is for preparing the music and does not include practice or performance of music. </t>
  </si>
  <si>
    <t>Racine Cluster (Living Faith Meal)</t>
  </si>
  <si>
    <t>Love Jesus</t>
  </si>
  <si>
    <t>Volunteer Coordinator</t>
  </si>
  <si>
    <t>Parish/Finance Secretary (40 hrs/week)</t>
  </si>
  <si>
    <t>Custodian - Rebecca (20 hrs/week)</t>
  </si>
  <si>
    <t>Chancelor Choir Director</t>
  </si>
  <si>
    <t xml:space="preserve">              Pension</t>
  </si>
  <si>
    <t>Youth Assistant (2 hr/week for 40 weeks)</t>
  </si>
  <si>
    <t>Salary Positions (non music)</t>
  </si>
  <si>
    <t>Full Year Contract - Estimate</t>
  </si>
  <si>
    <r>
      <t xml:space="preserve">To Salary </t>
    </r>
    <r>
      <rPr>
        <sz val="11"/>
        <color theme="1"/>
        <rFont val="Calibri"/>
        <family val="2"/>
        <scheme val="minor"/>
      </rPr>
      <t>(includes Gross up for taxes)</t>
    </r>
  </si>
  <si>
    <t>Portion of Medical/Vision/Dental Elected to go into Salary (includes gross up)</t>
  </si>
  <si>
    <t>DEFINED COMP.</t>
  </si>
  <si>
    <t>No Longer needed starting in 2021</t>
  </si>
  <si>
    <t>6.2% Social Sec./1.45% Medicare</t>
  </si>
  <si>
    <t>Associate Pastor</t>
  </si>
  <si>
    <t>Pastor Salary and Housing</t>
  </si>
  <si>
    <t>2019 Salary (2% increase)</t>
  </si>
  <si>
    <t>2020 Salary (2 % increase)</t>
  </si>
  <si>
    <t>16 years</t>
  </si>
  <si>
    <t>17 years</t>
  </si>
  <si>
    <t>18 years</t>
  </si>
  <si>
    <t>19 years</t>
  </si>
  <si>
    <t>Differnce vs Tables</t>
  </si>
  <si>
    <t>2021 Salary 12 % increase)</t>
  </si>
  <si>
    <t>Pastor Karen's Contract (excludes health adjustment) and actual</t>
  </si>
  <si>
    <t>ELCA Guidelines (COLA Only)</t>
  </si>
  <si>
    <t>ELCA Tables (COLA and Yrs of service)</t>
  </si>
  <si>
    <t>ELCA
 Guidelines</t>
  </si>
  <si>
    <t>2% Increase</t>
  </si>
  <si>
    <t>1% Increase</t>
  </si>
  <si>
    <t>0% Increase</t>
  </si>
  <si>
    <t>2.6% Increase plus 1/2 to Guidelines</t>
  </si>
  <si>
    <t>Not needed starting 2021</t>
  </si>
  <si>
    <t/>
  </si>
  <si>
    <t>2021 Budget</t>
  </si>
  <si>
    <t>Start December 1,  2020</t>
  </si>
  <si>
    <t>Decision was to waive the health care coverage.</t>
  </si>
  <si>
    <t>Not needed</t>
  </si>
  <si>
    <t>Options for balancing the 2021 Budget</t>
  </si>
  <si>
    <t>1)</t>
  </si>
  <si>
    <t>2)</t>
  </si>
  <si>
    <t>3)</t>
  </si>
  <si>
    <t>Reduce Youth (Chaperon costs to be fundraised)</t>
  </si>
  <si>
    <t>Eliminate Choir Director (Est. including taxes)</t>
  </si>
  <si>
    <t>4)</t>
  </si>
  <si>
    <t>5)</t>
  </si>
  <si>
    <t>Eliminate Flutist and extra music support line</t>
  </si>
  <si>
    <t>Take from the PPP Loan (This is a one year "fix")</t>
  </si>
  <si>
    <t>2021:  Last 3 quarters were $3,074.25.  Add 5% for last 3 quarters of 2021.</t>
  </si>
  <si>
    <t>2021:  Consider reducing or eliminating</t>
  </si>
  <si>
    <t>Reduce Holman Benevolence in 1/2 (Benevolence would be 7.4% in total)</t>
  </si>
  <si>
    <t>Salary and Wages</t>
  </si>
  <si>
    <t>2020 Budget Assoc Pastor (6 months), Intern (5 months) and Youth Director (5 months)</t>
  </si>
  <si>
    <t>Total Staff</t>
  </si>
  <si>
    <t>Other</t>
  </si>
  <si>
    <t>PPP Loan</t>
  </si>
  <si>
    <t>Proposed Allocation:</t>
  </si>
  <si>
    <t xml:space="preserve">1. </t>
  </si>
  <si>
    <t xml:space="preserve">2. </t>
  </si>
  <si>
    <t xml:space="preserve">3. </t>
  </si>
  <si>
    <t xml:space="preserve">4. </t>
  </si>
  <si>
    <t>Operating Reserve</t>
  </si>
  <si>
    <t>Insurance Provisions</t>
  </si>
  <si>
    <t xml:space="preserve">    Less Additional Benev. In Dec.</t>
  </si>
  <si>
    <t>Current Balances</t>
  </si>
  <si>
    <t>Total Allocated</t>
  </si>
  <si>
    <t>Net Amount to be allocated</t>
  </si>
  <si>
    <t>Facilities Project Reserve</t>
  </si>
  <si>
    <t>Facilities Maintenance Reserve</t>
  </si>
  <si>
    <t>Nov YTD
Net Income</t>
  </si>
  <si>
    <t>Budget Shortfall</t>
  </si>
  <si>
    <t>New Balance</t>
  </si>
  <si>
    <t>Nov 2020 Balance</t>
  </si>
  <si>
    <r>
      <t xml:space="preserve">Pastor:  </t>
    </r>
    <r>
      <rPr>
        <sz val="12"/>
        <color theme="1"/>
        <rFont val="Arial"/>
        <family val="2"/>
      </rPr>
      <t>Salary, Housing and FICA</t>
    </r>
  </si>
  <si>
    <r>
      <t xml:space="preserve">Assoc. Pastor:  </t>
    </r>
    <r>
      <rPr>
        <sz val="12"/>
        <color theme="1"/>
        <rFont val="Arial"/>
        <family val="2"/>
      </rPr>
      <t>Salary, Housing and FICA</t>
    </r>
  </si>
  <si>
    <t>Expected 2020 Dec YTD</t>
  </si>
  <si>
    <t>Financial Summary</t>
  </si>
  <si>
    <t>Net Operating Income</t>
  </si>
  <si>
    <t>Total Operating Income</t>
  </si>
  <si>
    <t>Operating Expenses:</t>
  </si>
  <si>
    <t>Total Operating Expenses</t>
  </si>
  <si>
    <t xml:space="preserve">     Benevolence</t>
  </si>
  <si>
    <t xml:space="preserve">     Programs</t>
  </si>
  <si>
    <t xml:space="preserve">     Staff</t>
  </si>
  <si>
    <t xml:space="preserve">     Facilities</t>
  </si>
  <si>
    <t>Restricted Funds:</t>
  </si>
  <si>
    <t xml:space="preserve">     Operating Fund Reserve</t>
  </si>
  <si>
    <t xml:space="preserve">     Facilities Fund Reserve</t>
  </si>
  <si>
    <t xml:space="preserve">     Facilities Maintenance</t>
  </si>
  <si>
    <t xml:space="preserve">     Insurance Provision</t>
  </si>
  <si>
    <t>Net Income</t>
  </si>
  <si>
    <t>Salary Positions (Excl. Pastors)</t>
  </si>
  <si>
    <t>Salary and Hourly Analysis</t>
  </si>
  <si>
    <t xml:space="preserve">  Change from 2020 Budget  $</t>
  </si>
  <si>
    <t>Cheryl Cieczka</t>
  </si>
  <si>
    <t>Name</t>
  </si>
  <si>
    <t>Title</t>
  </si>
  <si>
    <t>Jim Sodke</t>
  </si>
  <si>
    <t>Lynette Jacobson</t>
  </si>
  <si>
    <t xml:space="preserve">                                              %</t>
  </si>
  <si>
    <t>FT/PT</t>
  </si>
  <si>
    <t>P/T</t>
  </si>
  <si>
    <t>Marc Henkel</t>
  </si>
  <si>
    <t>Hourly Positions</t>
  </si>
  <si>
    <t>Hours</t>
  </si>
  <si>
    <t>Rates</t>
  </si>
  <si>
    <t>2021 Proposed</t>
  </si>
  <si>
    <t>2021 Current</t>
  </si>
  <si>
    <t>Notes / Rational for change</t>
  </si>
  <si>
    <t>Did not fully participate in worship given the Covid restrictions</t>
  </si>
  <si>
    <t>Rebecca Arreola</t>
  </si>
  <si>
    <t>Glenn Napier</t>
  </si>
  <si>
    <t>Did less this year due to reduced needs of the church.</t>
  </si>
  <si>
    <t>Heather Kezsler</t>
  </si>
  <si>
    <t>Only Full Time Employee.  Took on more responsibilities due to Covid changes, Youth and Script accounting, etc.  Uses time very wisely.</t>
  </si>
  <si>
    <t>Director of Contemporary Worship (Excludes Revelation Band Time)</t>
  </si>
  <si>
    <t>Workers Compensation/FICA/MED</t>
  </si>
  <si>
    <t>Pastors/Intern/Youth Director</t>
  </si>
  <si>
    <t>No changes due to COVID restrictions</t>
  </si>
  <si>
    <t>Postions changed:  Fully year of Pastor Kelly vs partial years for Intern John and Youth Director along with salary increase for Pastor Karen</t>
  </si>
  <si>
    <t>Participated in needed changes to worship given the Covid restrictions</t>
  </si>
  <si>
    <t>In addition to usual Custodian work, Marc helped adjust appropriately for all the changes needed due to Covid restrictions.</t>
  </si>
  <si>
    <t>NA</t>
  </si>
  <si>
    <t>2021 Ending Balance</t>
  </si>
  <si>
    <t>Total Projectionist</t>
  </si>
  <si>
    <t>2022 Budget</t>
  </si>
  <si>
    <t>Nov 27-Dec 24, 2022</t>
  </si>
  <si>
    <t>Christmas is on Sunday</t>
  </si>
  <si>
    <t>Memorial Day (May 30) - Labor Day (Sept 5)</t>
  </si>
  <si>
    <t>March 2 - April 16, 2022</t>
  </si>
  <si>
    <t>Annual Contract 2021</t>
  </si>
  <si>
    <t>8 Years of Experience (Guideline for 2020 = $62,066) plus 1% to get to 2021 estimate.</t>
  </si>
  <si>
    <t>Continuing Ed  (includes Fall Leadership</t>
  </si>
  <si>
    <t>Veterans Tiny Homes</t>
  </si>
  <si>
    <t>Lutherdale Bible Camp</t>
  </si>
  <si>
    <t>Holman's Ministry</t>
  </si>
  <si>
    <t>2022:  Reduced due change in curriculum, eliminating weekly handouts, and less students</t>
  </si>
  <si>
    <t>Church &amp; Community Outreach</t>
  </si>
  <si>
    <t>2021:  Did not turn in receipts for 4th Friday event.</t>
  </si>
  <si>
    <t xml:space="preserve">     Conf.  Synold Assembly is incl under</t>
  </si>
  <si>
    <t>2021:  Cheryl working to reducing printing of unneeded envelopes.  She estimates $500.</t>
  </si>
  <si>
    <t>Youth Ministry Staff</t>
  </si>
  <si>
    <t>Total Youth Ministry Staff</t>
  </si>
  <si>
    <t>Pay Rates for 2022</t>
  </si>
  <si>
    <t>From Pastor Karen</t>
  </si>
  <si>
    <t>Started playing for Advent for 2022</t>
  </si>
  <si>
    <t>Lynette, Fred, Herk, Dee, &amp; Jake</t>
  </si>
  <si>
    <t xml:space="preserve">     Number of Services</t>
  </si>
  <si>
    <t xml:space="preserve">     # of Services per Sunday</t>
  </si>
  <si>
    <t xml:space="preserve">     Revelation Band Services for Advent</t>
  </si>
  <si>
    <t xml:space="preserve">     Revelation Band Services for Lent</t>
  </si>
  <si>
    <t>Total Services</t>
  </si>
  <si>
    <t>Additional Services:</t>
  </si>
  <si>
    <t>Total Services and Practices</t>
  </si>
  <si>
    <t>One day per week (excl Lent/Advent services)</t>
  </si>
  <si>
    <t xml:space="preserve">   Additional for Easter and Christmas Service</t>
  </si>
  <si>
    <t xml:space="preserve">    Pay per Service per Person</t>
  </si>
  <si>
    <t>Total Service Pay</t>
  </si>
  <si>
    <t xml:space="preserve">     Number of Worship Sundays</t>
  </si>
  <si>
    <t>Funerals are covered by the families</t>
  </si>
  <si>
    <t xml:space="preserve">     Pay per Person per service</t>
  </si>
  <si>
    <t>Total Number of Services</t>
  </si>
  <si>
    <t xml:space="preserve">     Number of Summer/Sub People per Service</t>
  </si>
  <si>
    <t xml:space="preserve">     Pay per Summer/Sub per Service</t>
  </si>
  <si>
    <t xml:space="preserve">     Number of Projectionist People per Service</t>
  </si>
  <si>
    <t>2022:  Cheryl continues to reduce this.  More on-line giving.</t>
  </si>
  <si>
    <t>2021:  The $450 is for the Stewardship program we are using.</t>
  </si>
  <si>
    <t>2021:  Increased towards end of year due to additional responsibilies added.</t>
  </si>
  <si>
    <t>2022:  Increased 2.5%</t>
  </si>
  <si>
    <t>Sound and Live Stream Support</t>
  </si>
  <si>
    <t>2022:  Added a live stream support position for both services.</t>
  </si>
  <si>
    <t>2022:  Agree to $3,000 for full year (as part of salary going forward).</t>
  </si>
  <si>
    <t>Gifts, etc</t>
  </si>
  <si>
    <t>2022:  Estimate per Cheryl</t>
  </si>
  <si>
    <t>2022:  Esimate per Cheryl/Pastor.  Youth night and funerals, etc for plates/cups/napkins and other kitchen items.</t>
  </si>
  <si>
    <t>SOUND/LIVE STREAMING SUPPORT:</t>
  </si>
  <si>
    <t>This Does NOT include the Sound/Live Streaming Support which are separate.  Lynette is to turn in by name who attended practice and who played at Sunday service each week.</t>
  </si>
  <si>
    <t>Portion of Medical/Vision/Dental Elected to go into Salary                                        (includes gross up starting in 2020)</t>
  </si>
  <si>
    <t>2022:  Per Cheryl we have a significant carry-over balance that will cover 2022 increases.</t>
  </si>
  <si>
    <t>J. Nelson plus others.  For 2022 increase from $25 to $35 per service.</t>
  </si>
  <si>
    <t xml:space="preserve">2020:  Requested $1,000 for Gowns $50, Breakfast $350, Cake $50, Pictures $50, Flowers $150, Gifts $150, and Curriculum $200.  Confirmant Trend:  2020 (16), 2019 (12), 2020 (6), 2021 (0), 2022 (12).  </t>
  </si>
  <si>
    <t>2022:  Might be able to reduce another $1,500 if needed.</t>
  </si>
  <si>
    <t>NOTES:  2021 New Copier Lease.  New Computers:  2020 Pastor Karen Apple Mac Mini, 2019 Heather, Cheryl 11/2016 and Janice new printer.</t>
  </si>
  <si>
    <t>L. Jacobson.  Consider this position as part of staff.</t>
  </si>
  <si>
    <t>2021:  Jim Sodke starting covering this.  Gift of $500 for part year and small choir.</t>
  </si>
  <si>
    <t>Starting in 2020 this is now being done through multiple people with most volunteering.</t>
  </si>
  <si>
    <t>2022: Estimate per Cheryl</t>
  </si>
  <si>
    <t>2022:  Increase this line per Cheryl and Pastor</t>
  </si>
  <si>
    <t>2022:  increase based on 2021 actuals</t>
  </si>
  <si>
    <t>Marc Henkel:  was not replaced when he left in 2021</t>
  </si>
  <si>
    <t>Heather Keszler was not replaced when she left in 2021.                                                       "</t>
  </si>
  <si>
    <t>Cheryl:  2022:  No increase due to large increase in late 2021.</t>
  </si>
  <si>
    <t>Operating Expenses unexpectedly exceed Income (Income shortfall).</t>
  </si>
  <si>
    <t>Large Building and grounds needs for facility up-keep.</t>
  </si>
  <si>
    <t>True Emergency issues.</t>
  </si>
  <si>
    <t>PASTOR KAREN</t>
  </si>
  <si>
    <t xml:space="preserve">     Annual Increase %</t>
  </si>
  <si>
    <t xml:space="preserve">     Gross up %</t>
  </si>
  <si>
    <t xml:space="preserve">     Pension %</t>
  </si>
  <si>
    <t xml:space="preserve">     Disability %</t>
  </si>
  <si>
    <t xml:space="preserve">     Group Life %</t>
  </si>
  <si>
    <t xml:space="preserve">     Total Other Insurance %</t>
  </si>
  <si>
    <t>Continuing Ed  (includes Fall Leadership Conf.   The Synod</t>
  </si>
  <si>
    <t xml:space="preserve">     FICA Tax %:   SS (6.2%) &amp; Medicare (1.45%)</t>
  </si>
  <si>
    <t>Total Number of Sunday Services</t>
  </si>
  <si>
    <t>Additional Special Services:</t>
  </si>
  <si>
    <t>Total Services (Sundays and Special)</t>
  </si>
  <si>
    <t>Added  Live Streaming in 2022 Budget</t>
  </si>
  <si>
    <t xml:space="preserve">     Number of Sound/Live Streaming People</t>
  </si>
  <si>
    <t>Total Sound/Live Streaming Budget</t>
  </si>
  <si>
    <t>Number of Services</t>
  </si>
  <si>
    <t xml:space="preserve">    # of Band Members per Service (Avg)</t>
  </si>
  <si>
    <t xml:space="preserve">    # of Extra Services at Easter &amp; Christmas</t>
  </si>
  <si>
    <t xml:space="preserve">     # of Sound People per Service</t>
  </si>
  <si>
    <t xml:space="preserve">     # of Summer/Sub People per Service</t>
  </si>
  <si>
    <t xml:space="preserve">     # of Projectionist People per Service</t>
  </si>
  <si>
    <t>This is for preparing the music and does not include practice or playing at services for Revelation Band.  This salary also includes the work the Youth Choir Assistant role.</t>
  </si>
  <si>
    <t>Unforeseen Health Care changes for Pastors.</t>
  </si>
  <si>
    <t>All to Pension Per Pastor Karen</t>
  </si>
  <si>
    <t xml:space="preserve">     FICA Tax %:   Social Security (6.2%) &amp; Medicare (1.45%)</t>
  </si>
  <si>
    <t xml:space="preserve">    Assemby is included under Misc. Programs)</t>
  </si>
  <si>
    <t xml:space="preserve">     Misc. Programs)</t>
  </si>
  <si>
    <t>Signatures:</t>
  </si>
  <si>
    <t>Date</t>
  </si>
  <si>
    <t>Pastor Karen Pahl</t>
  </si>
  <si>
    <t>Tony Baumgardt - LCR President</t>
  </si>
  <si>
    <t>Dawn Jacobson - Finance Committee Lead</t>
  </si>
  <si>
    <t>Pastor Kelly Nieman</t>
  </si>
  <si>
    <t>2021 was 8%.  QUESTION:  Should Endowment Distributions to Outside Org. be considered part of our 10% Benevolence?</t>
  </si>
  <si>
    <t>Excl the $500 for Synod Assembly (budgeted under Misc Programs).</t>
  </si>
  <si>
    <t>2022 is ELCA guidelines less 2 weeks vacation that Pastor Kelly would like to "buy back".</t>
  </si>
  <si>
    <t>2022:  Increased per Service rate to $35/member (was $25), 5 band members and will play for Advent Services.  2021 Budget had 6 band members.</t>
  </si>
  <si>
    <t>2022:  Estimate based on not replacing Heather or Marc.</t>
  </si>
  <si>
    <t>2021 was 115 total pledges.</t>
  </si>
  <si>
    <t>2022:  Received 99 pledges as of 11/11/21.</t>
  </si>
  <si>
    <t>2022 Budget is 2.6% increase plus 1/2 of the 
difference to get to ELCA Guidelines</t>
  </si>
  <si>
    <t>2022:  Brown Bag Bible Study $100, Sunday Adult Ed/Forum $100, and Other Adult Study $100.  The extra $250 is for ?</t>
  </si>
  <si>
    <t>RIC Advertising is $200 annually.</t>
  </si>
  <si>
    <t>2022:   Planning Abelskivers for Spring</t>
  </si>
  <si>
    <t>2022:  What is the expected number of confirmants for 2022?</t>
  </si>
  <si>
    <t>This is what Parish Ed wishes to give to Neighborhood Camp.  Neighborhood Camp total cost is managed through a dedicated funds account.</t>
  </si>
  <si>
    <t>Books $200 and DVDs $100.  They spend their budget by end of each year.</t>
  </si>
  <si>
    <t>Cake/Matherials $100 and Curriculum/books/cups $100.</t>
  </si>
  <si>
    <t>For materials</t>
  </si>
  <si>
    <t>Include 3 Congregation members and 2 Pastor (usually $200/person)</t>
  </si>
  <si>
    <t>2022:  Assumes 2 mailings.  Same as past put less number per mailing.</t>
  </si>
  <si>
    <t>$600 Vanco (on-line giving), $996 Johnson Bank (Per month:  $20 Online Banking, $40 Remote Deposit, $15 ACH Module and $8/transaction over 250 Transactions.  Total estimated $83/Month) and $85 for Safety Deposit Box….Round up to $1,700</t>
  </si>
  <si>
    <t>2021:  Full audit $2,000 &amp; Financial Questions $500.</t>
  </si>
  <si>
    <t>Disability and Group Life.  NOTE:  Retiree Support is no longer needed.</t>
  </si>
  <si>
    <t>Summer/Sub Bands/Equip. Set up</t>
  </si>
  <si>
    <t>2022:  Estimate per Cheryl.</t>
  </si>
  <si>
    <t>2022:  Synod recommendations a 5% COLA plus 1 additional year of Service.</t>
  </si>
  <si>
    <t>2022:  Budget is 2.6% increase plus 1/2 to get to ELCA guidelines.  Pastor will take an extra week and 2 days of vacation to meet ELCA guidelines</t>
  </si>
  <si>
    <t>Operating Income</t>
  </si>
  <si>
    <t>2022 Proposed Budget</t>
  </si>
  <si>
    <t>2021 Actual</t>
  </si>
  <si>
    <t>Per Pastor Kelly's Contract for 2022 she recieves 4 weeks of vacation (including 4 Sundays).  In addition, for 2022, Pastor Kelly elected to purchase 2 weeks of vacation (includes 2 Sundays).</t>
  </si>
  <si>
    <t>Custodian - Glenn Napier (20 hrs/week)</t>
  </si>
  <si>
    <t>Custodian - Added Support (15 hrs/week)</t>
  </si>
  <si>
    <t>Flutist:</t>
  </si>
  <si>
    <t xml:space="preserve">     Pay per Service</t>
  </si>
  <si>
    <t xml:space="preserve">     Pay per Service (per person)</t>
  </si>
  <si>
    <t xml:space="preserve">     Pay per Equipment set up (per person)</t>
  </si>
  <si>
    <t xml:space="preserve">    Pay per Service (per person)</t>
  </si>
  <si>
    <t>Dec 2021 YTD Actual</t>
  </si>
  <si>
    <t>Dec 2021 YTD Budget</t>
  </si>
  <si>
    <t>Advent Offerings</t>
  </si>
  <si>
    <t>2021 YTD includes $56,200 of the Gov Loan forgiveness recognized as income.</t>
  </si>
  <si>
    <t>2022:  Need $500 for 2021-23 for Visioning, $500 for Financial Questions and $500 other (Reduced by $500 to cover deficit).</t>
  </si>
  <si>
    <t>Reduced by $1,000 to cover deficit.  $200/for 2 services and $50 for an additional service</t>
  </si>
  <si>
    <t>Per Jim Sodke:  Choir Piano (2 times) and 3 other pianos (1 time) at $75/each time.  Grand Piano (3 times) at $150 each.  Organ Tuning (1 time) at 750.   Total $1,575.  Includes rate increase and/or minor repairs.  Reduced by $91 to cover deficit.</t>
  </si>
  <si>
    <t>2020 Actual</t>
  </si>
  <si>
    <t>Pastor Kelly</t>
  </si>
  <si>
    <t>Total Cost</t>
  </si>
  <si>
    <t xml:space="preserve">  Change $</t>
  </si>
  <si>
    <r>
      <rPr>
        <vertAlign val="superscript"/>
        <sz val="14"/>
        <color theme="1"/>
        <rFont val="Calibri"/>
        <family val="2"/>
        <scheme val="minor"/>
      </rPr>
      <t>(1)</t>
    </r>
    <r>
      <rPr>
        <sz val="14"/>
        <color theme="1"/>
        <rFont val="Calibri"/>
        <family val="2"/>
        <scheme val="minor"/>
      </rPr>
      <t xml:space="preserve">  Includes the 2 vacation week "buy-back ".  Included 5% COLA and 2% experience increase.  Pastor receives an insurance "subsitity" given she is covered by her husband's insurance.</t>
    </r>
  </si>
  <si>
    <r>
      <rPr>
        <vertAlign val="superscript"/>
        <sz val="14"/>
        <color theme="1"/>
        <rFont val="Calibri"/>
        <family val="2"/>
        <scheme val="minor"/>
      </rPr>
      <t xml:space="preserve">(2) </t>
    </r>
    <r>
      <rPr>
        <sz val="14"/>
        <color theme="1"/>
        <rFont val="Calibri"/>
        <family val="2"/>
        <scheme val="minor"/>
      </rPr>
      <t xml:space="preserve"> Increase is applied to salary and housing only.  FICA, other Taxes and pension stayed at same % and all business expenses (travel, etc) remain flat.</t>
    </r>
  </si>
  <si>
    <t>Jan through end of June</t>
  </si>
  <si>
    <r>
      <t xml:space="preserve">2023 Estimate </t>
    </r>
    <r>
      <rPr>
        <b/>
        <vertAlign val="superscript"/>
        <sz val="14"/>
        <color theme="1"/>
        <rFont val="Calibri"/>
        <family val="2"/>
        <scheme val="minor"/>
      </rPr>
      <t>(2)</t>
    </r>
  </si>
  <si>
    <r>
      <t>Current 2022</t>
    </r>
    <r>
      <rPr>
        <b/>
        <vertAlign val="superscript"/>
        <sz val="14"/>
        <color theme="1"/>
        <rFont val="Calibri"/>
        <family val="2"/>
        <scheme val="minor"/>
      </rPr>
      <t xml:space="preserve"> (1)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</si>
</sst>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quot;$&quot;#,##0.000_);\(&quot;$&quot;#,##0.000\)"/>
    <numFmt numFmtId="173" formatCode="&quot;$&quot;#,##0.00000_);\(&quot;$&quot;#,##0.00000\)"/>
  </numFmts>
  <fonts count="46"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
      <sz val="16"/>
      <color theme="1"/>
      <name val="Calibri"/>
      <family val="2"/>
      <scheme val="minor"/>
    </font>
    <font>
      <b/>
      <sz val="20"/>
      <color theme="1"/>
      <name val="Calibri"/>
      <family val="2"/>
      <scheme val="minor"/>
    </font>
    <font>
      <sz val="16"/>
      <color rgb="FF0000FF"/>
      <name val="Calibri"/>
      <family val="2"/>
      <scheme val="minor"/>
    </font>
    <font>
      <sz val="16"/>
      <name val="Calibri"/>
      <family val="2"/>
      <scheme val="minor"/>
    </font>
    <font>
      <b/>
      <sz val="16"/>
      <color indexed="81"/>
      <name val="Tahoma"/>
      <family val="2"/>
    </font>
    <font>
      <sz val="16"/>
      <color indexed="81"/>
      <name val="Tahoma"/>
      <family val="2"/>
    </font>
    <font>
      <b/>
      <sz val="16"/>
      <name val="Calibri"/>
      <family val="2"/>
      <scheme val="minor"/>
    </font>
    <font>
      <u val="singleAccounting"/>
      <sz val="11"/>
      <color theme="1"/>
      <name val="Calibri"/>
      <family val="2"/>
      <scheme val="minor"/>
    </font>
    <font>
      <u val="singleAccounting"/>
      <sz val="11"/>
      <color rgb="FF0000FF"/>
      <name val="Calibri"/>
      <family val="2"/>
      <scheme val="minor"/>
    </font>
    <font>
      <sz val="14"/>
      <color theme="1"/>
      <name val="Calibri"/>
      <family val="2"/>
      <scheme val="minor"/>
    </font>
    <font>
      <sz val="14"/>
      <color rgb="FFFF0000"/>
      <name val="Calibri"/>
      <family val="2"/>
      <scheme val="minor"/>
    </font>
    <font>
      <vertAlign val="superscript"/>
      <sz val="14"/>
      <color theme="1"/>
      <name val="Calibri"/>
      <family val="2"/>
      <scheme val="minor"/>
    </font>
    <font>
      <sz val="14"/>
      <name val="Calibri"/>
      <family val="2"/>
      <scheme val="minor"/>
    </font>
    <font>
      <b/>
      <sz val="14"/>
      <name val="Calibri"/>
      <family val="2"/>
      <scheme val="minor"/>
    </font>
    <font>
      <b/>
      <vertAlign val="superscript"/>
      <sz val="14"/>
      <color theme="1"/>
      <name val="Calibri"/>
      <family val="2"/>
      <scheme val="minor"/>
    </font>
  </fonts>
  <fills count="15">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99FFCC"/>
        <bgColor indexed="64"/>
      </patternFill>
    </fill>
    <fill>
      <patternFill patternType="solid">
        <fgColor rgb="FFFFCCFF"/>
        <bgColor indexed="64"/>
      </patternFill>
    </fill>
    <fill>
      <patternFill patternType="solid">
        <fgColor theme="1"/>
        <bgColor indexed="64"/>
      </patternFill>
    </fill>
  </fills>
  <borders count="1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right/>
      <top style="hair">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medium">
        <color indexed="64"/>
      </left>
      <right/>
      <top style="thick">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127">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2"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44" fontId="0" fillId="0" borderId="0" xfId="1" applyNumberFormat="1" applyFont="1" applyAlignment="1">
      <alignment horizontal="center" vertical="center"/>
    </xf>
    <xf numFmtId="44" fontId="0" fillId="0"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7" xfId="0" applyNumberFormat="1" applyFont="1" applyFill="1" applyBorder="1" applyAlignment="1">
      <alignment vertical="center"/>
    </xf>
    <xf numFmtId="0" fontId="0" fillId="0" borderId="4" xfId="0" applyFill="1" applyBorder="1" applyAlignment="1">
      <alignment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9" fontId="15" fillId="0" borderId="6"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8" xfId="0" quotePrefix="1" applyFill="1"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1"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4" fillId="0" borderId="0" xfId="0" applyFont="1" applyAlignment="1">
      <alignment vertical="center"/>
    </xf>
    <xf numFmtId="0" fontId="22" fillId="0" borderId="0" xfId="0" applyFont="1" applyAlignment="1">
      <alignment vertical="center"/>
    </xf>
    <xf numFmtId="0" fontId="25" fillId="0" borderId="0" xfId="0" applyFont="1" applyAlignment="1">
      <alignment vertical="center"/>
    </xf>
    <xf numFmtId="0" fontId="22" fillId="0" borderId="0" xfId="0" applyFont="1" applyFill="1" applyAlignment="1">
      <alignment vertical="center"/>
    </xf>
    <xf numFmtId="0" fontId="22" fillId="0" borderId="0" xfId="0" applyFont="1" applyBorder="1" applyAlignment="1">
      <alignment vertical="center"/>
    </xf>
    <xf numFmtId="5" fontId="22" fillId="0" borderId="0" xfId="0" applyNumberFormat="1" applyFont="1" applyAlignment="1">
      <alignment vertical="center"/>
    </xf>
    <xf numFmtId="0" fontId="22" fillId="0" borderId="8" xfId="0" applyFont="1" applyBorder="1" applyAlignment="1">
      <alignment vertical="center"/>
    </xf>
    <xf numFmtId="0" fontId="22" fillId="0" borderId="18" xfId="0" applyFont="1" applyBorder="1" applyAlignment="1">
      <alignment vertical="center"/>
    </xf>
    <xf numFmtId="0" fontId="25" fillId="0" borderId="0" xfId="0" applyFont="1" applyBorder="1" applyAlignment="1">
      <alignment horizontal="center" vertical="center" textRotation="90" wrapText="1"/>
    </xf>
    <xf numFmtId="0" fontId="24" fillId="0" borderId="0" xfId="0" applyFont="1" applyAlignment="1">
      <alignment horizontal="center" vertical="center" wrapText="1"/>
    </xf>
    <xf numFmtId="0" fontId="25" fillId="0" borderId="0" xfId="0" applyFont="1" applyFill="1" applyBorder="1" applyAlignment="1">
      <alignment vertical="center"/>
    </xf>
    <xf numFmtId="0" fontId="22" fillId="0" borderId="23" xfId="0" applyFont="1" applyBorder="1" applyAlignment="1">
      <alignment vertical="center"/>
    </xf>
    <xf numFmtId="0" fontId="22" fillId="0" borderId="20" xfId="0" applyFont="1" applyBorder="1" applyAlignment="1">
      <alignment vertical="center"/>
    </xf>
    <xf numFmtId="0" fontId="22" fillId="0" borderId="21" xfId="0" applyFont="1" applyBorder="1" applyAlignment="1">
      <alignment vertical="center"/>
    </xf>
    <xf numFmtId="0" fontId="25" fillId="11" borderId="79" xfId="0" applyFont="1" applyFill="1" applyBorder="1" applyAlignment="1">
      <alignment vertical="center"/>
    </xf>
    <xf numFmtId="0" fontId="22" fillId="11" borderId="80" xfId="0" applyFont="1" applyFill="1" applyBorder="1" applyAlignment="1">
      <alignment vertical="center"/>
    </xf>
    <xf numFmtId="0" fontId="22" fillId="11" borderId="81" xfId="0" applyFont="1" applyFill="1" applyBorder="1" applyAlignment="1">
      <alignment vertical="center"/>
    </xf>
    <xf numFmtId="0" fontId="22" fillId="0" borderId="24" xfId="0" applyFont="1" applyBorder="1" applyAlignment="1">
      <alignment vertical="center"/>
    </xf>
    <xf numFmtId="0" fontId="22" fillId="0" borderId="22" xfId="0" applyFont="1" applyBorder="1" applyAlignment="1">
      <alignment vertical="center"/>
    </xf>
    <xf numFmtId="0" fontId="22" fillId="0" borderId="47" xfId="0" applyFont="1" applyBorder="1" applyAlignment="1">
      <alignment vertical="center"/>
    </xf>
    <xf numFmtId="0" fontId="22" fillId="0" borderId="82" xfId="0" applyFont="1" applyBorder="1" applyAlignment="1">
      <alignment vertical="center"/>
    </xf>
    <xf numFmtId="0" fontId="22" fillId="0" borderId="17" xfId="0" applyFont="1" applyBorder="1" applyAlignment="1">
      <alignment vertical="center"/>
    </xf>
    <xf numFmtId="0" fontId="22" fillId="0" borderId="19" xfId="0" applyFont="1" applyBorder="1" applyAlignment="1">
      <alignment vertical="center"/>
    </xf>
    <xf numFmtId="0" fontId="22" fillId="0" borderId="23" xfId="0" applyFont="1" applyBorder="1" applyAlignment="1">
      <alignment horizontal="left" vertical="center" wrapText="1"/>
    </xf>
    <xf numFmtId="7" fontId="22" fillId="0" borderId="24" xfId="0" applyNumberFormat="1" applyFont="1" applyBorder="1" applyAlignment="1">
      <alignment horizontal="center" vertical="center" wrapText="1"/>
    </xf>
    <xf numFmtId="0" fontId="22" fillId="0" borderId="20" xfId="0" applyFont="1" applyBorder="1" applyAlignment="1">
      <alignment horizontal="left" vertical="center" wrapText="1"/>
    </xf>
    <xf numFmtId="7" fontId="22" fillId="0" borderId="22" xfId="0" applyNumberFormat="1" applyFont="1" applyBorder="1" applyAlignment="1">
      <alignment horizontal="center" vertical="center" wrapText="1"/>
    </xf>
    <xf numFmtId="0" fontId="24" fillId="11" borderId="79" xfId="0" applyFont="1" applyFill="1" applyBorder="1" applyAlignment="1">
      <alignment vertical="center"/>
    </xf>
    <xf numFmtId="0" fontId="25" fillId="11" borderId="81" xfId="0" applyFont="1" applyFill="1" applyBorder="1" applyAlignment="1">
      <alignment horizontal="center" vertical="center" wrapText="1"/>
    </xf>
    <xf numFmtId="0" fontId="25" fillId="0" borderId="79" xfId="0" applyFont="1" applyFill="1" applyBorder="1" applyAlignment="1">
      <alignment vertical="center"/>
    </xf>
    <xf numFmtId="0" fontId="22" fillId="11" borderId="80" xfId="0" applyFont="1" applyFill="1" applyBorder="1" applyAlignment="1">
      <alignment horizontal="center" vertical="center"/>
    </xf>
    <xf numFmtId="5" fontId="26" fillId="0" borderId="0" xfId="1" applyNumberFormat="1" applyFont="1" applyFill="1" applyAlignment="1">
      <alignment horizontal="center" vertical="center"/>
    </xf>
    <xf numFmtId="5" fontId="27" fillId="0" borderId="0" xfId="1" applyNumberFormat="1" applyFont="1" applyBorder="1" applyAlignment="1">
      <alignment horizontal="center" vertical="center"/>
    </xf>
    <xf numFmtId="0" fontId="22" fillId="0" borderId="0" xfId="0" applyFont="1" applyAlignment="1">
      <alignment horizontal="center" vertical="center"/>
    </xf>
    <xf numFmtId="5" fontId="27"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9" fontId="15" fillId="0" borderId="28" xfId="0"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8" fillId="0" borderId="80" xfId="1" applyNumberFormat="1" applyFont="1" applyFill="1" applyBorder="1" applyAlignment="1">
      <alignment horizontal="center" vertical="center"/>
    </xf>
    <xf numFmtId="0" fontId="29" fillId="0" borderId="0" xfId="0" applyFont="1" applyBorder="1" applyAlignment="1">
      <alignment horizontal="center" vertical="center"/>
    </xf>
    <xf numFmtId="5" fontId="29" fillId="0" borderId="0" xfId="1" applyNumberFormat="1" applyFont="1" applyBorder="1" applyAlignment="1">
      <alignment horizontal="center" vertical="center"/>
    </xf>
    <xf numFmtId="5" fontId="29" fillId="0" borderId="21" xfId="1" applyNumberFormat="1" applyFont="1" applyBorder="1" applyAlignment="1">
      <alignment horizontal="center" vertical="center"/>
    </xf>
    <xf numFmtId="5" fontId="29" fillId="0" borderId="8" xfId="1" applyNumberFormat="1" applyFont="1" applyBorder="1" applyAlignment="1">
      <alignment horizontal="center" vertical="center"/>
    </xf>
    <xf numFmtId="0" fontId="29"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9"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0" fontId="0" fillId="0" borderId="56" xfId="0" applyFill="1" applyBorder="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5" fontId="13" fillId="0" borderId="85" xfId="1" applyNumberFormat="1" applyFont="1" applyFill="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5" fontId="8" fillId="0" borderId="85" xfId="1" applyNumberFormat="1" applyFont="1" applyFill="1" applyBorder="1" applyAlignment="1">
      <alignment vertical="center"/>
    </xf>
    <xf numFmtId="164" fontId="8" fillId="0" borderId="0" xfId="1" applyNumberFormat="1" applyFont="1" applyFill="1" applyBorder="1" applyAlignment="1">
      <alignment horizontal="left" vertical="center" wrapText="1"/>
    </xf>
    <xf numFmtId="9" fontId="30" fillId="8" borderId="0" xfId="2" applyFont="1" applyFill="1" applyAlignment="1">
      <alignment vertical="center"/>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6" xfId="1" applyNumberFormat="1" applyFont="1" applyBorder="1" applyAlignment="1">
      <alignment vertical="center"/>
    </xf>
    <xf numFmtId="164" fontId="7" fillId="0" borderId="97" xfId="1" applyNumberFormat="1" applyFont="1" applyBorder="1" applyAlignment="1">
      <alignment vertical="center"/>
    </xf>
    <xf numFmtId="165" fontId="0" fillId="0" borderId="98" xfId="2" applyNumberFormat="1" applyFont="1" applyBorder="1" applyAlignment="1">
      <alignment horizontal="center" vertical="center"/>
    </xf>
    <xf numFmtId="164" fontId="0" fillId="0" borderId="99" xfId="1" applyNumberFormat="1" applyFont="1" applyBorder="1" applyAlignment="1">
      <alignment vertical="center"/>
    </xf>
    <xf numFmtId="165" fontId="0" fillId="0" borderId="100"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9" fontId="12" fillId="0" borderId="0" xfId="2" applyFont="1" applyAlignment="1">
      <alignment vertical="center"/>
    </xf>
    <xf numFmtId="0" fontId="24" fillId="0" borderId="0" xfId="0" applyFont="1" applyAlignment="1">
      <alignment horizontal="center" vertical="center" wrapText="1"/>
    </xf>
    <xf numFmtId="0" fontId="25" fillId="0" borderId="17" xfId="0" applyFont="1" applyFill="1" applyBorder="1" applyAlignment="1">
      <alignment vertical="center"/>
    </xf>
    <xf numFmtId="5" fontId="28" fillId="0" borderId="18" xfId="1" applyNumberFormat="1" applyFont="1" applyFill="1" applyBorder="1" applyAlignment="1">
      <alignment horizontal="center" vertical="center"/>
    </xf>
    <xf numFmtId="5" fontId="28" fillId="0" borderId="21" xfId="1" applyNumberFormat="1" applyFont="1" applyFill="1" applyBorder="1" applyAlignment="1">
      <alignment horizontal="center" vertical="center"/>
    </xf>
    <xf numFmtId="0" fontId="22" fillId="0" borderId="20" xfId="0" applyFont="1" applyFill="1" applyBorder="1" applyAlignment="1">
      <alignment vertical="center"/>
    </xf>
    <xf numFmtId="44" fontId="2" fillId="0" borderId="0" xfId="1" applyNumberFormat="1" applyFont="1" applyFill="1" applyAlignment="1">
      <alignment vertical="center"/>
    </xf>
    <xf numFmtId="164" fontId="8" fillId="8" borderId="0" xfId="1" applyNumberFormat="1" applyFont="1" applyFill="1" applyAlignment="1">
      <alignment vertical="center"/>
    </xf>
    <xf numFmtId="37" fontId="15" fillId="0" borderId="32" xfId="1" applyNumberFormat="1" applyFont="1" applyFill="1" applyBorder="1" applyAlignment="1">
      <alignment horizontal="center" vertical="center"/>
    </xf>
    <xf numFmtId="165" fontId="1" fillId="0" borderId="32" xfId="2" applyNumberFormat="1" applyFont="1" applyFill="1" applyBorder="1" applyAlignment="1">
      <alignment horizontal="center" vertical="center"/>
    </xf>
    <xf numFmtId="7" fontId="15" fillId="0" borderId="32" xfId="1" applyNumberFormat="1" applyFont="1" applyBorder="1" applyAlignment="1">
      <alignment horizontal="center" vertical="center"/>
    </xf>
    <xf numFmtId="44" fontId="15" fillId="0" borderId="32" xfId="1" applyNumberFormat="1" applyFont="1" applyBorder="1" applyAlignment="1">
      <alignment horizontal="center" vertical="center"/>
    </xf>
    <xf numFmtId="5" fontId="11" fillId="0" borderId="0" xfId="0" applyNumberFormat="1" applyFont="1" applyAlignment="1">
      <alignment vertical="center"/>
    </xf>
    <xf numFmtId="10" fontId="15" fillId="0" borderId="0" xfId="2" applyNumberFormat="1" applyFont="1" applyFill="1" applyBorder="1" applyAlignment="1">
      <alignment horizontal="right" vertical="center"/>
    </xf>
    <xf numFmtId="5" fontId="8" fillId="0" borderId="29" xfId="0" applyNumberFormat="1" applyFont="1" applyFill="1" applyBorder="1" applyAlignment="1">
      <alignment horizontal="right" vertical="center"/>
    </xf>
    <xf numFmtId="5" fontId="13" fillId="0" borderId="31" xfId="0" applyNumberFormat="1" applyFont="1" applyFill="1" applyBorder="1" applyAlignment="1">
      <alignment vertical="center"/>
    </xf>
    <xf numFmtId="5" fontId="2" fillId="0" borderId="31" xfId="0" applyNumberFormat="1" applyFont="1" applyBorder="1" applyAlignment="1">
      <alignment vertical="center"/>
    </xf>
    <xf numFmtId="5" fontId="8" fillId="0" borderId="31" xfId="0" applyNumberFormat="1" applyFont="1" applyBorder="1" applyAlignment="1">
      <alignment vertical="center"/>
    </xf>
    <xf numFmtId="5" fontId="8" fillId="0" borderId="28" xfId="1" applyNumberFormat="1" applyFont="1" applyFill="1" applyBorder="1" applyAlignment="1">
      <alignment horizontal="right" vertical="center"/>
    </xf>
    <xf numFmtId="5" fontId="13" fillId="0" borderId="28" xfId="1" applyNumberFormat="1" applyFont="1" applyFill="1" applyBorder="1" applyAlignment="1">
      <alignment horizontal="right" vertical="center"/>
    </xf>
    <xf numFmtId="5" fontId="15" fillId="0" borderId="28" xfId="0" applyNumberFormat="1" applyFont="1" applyFill="1" applyBorder="1" applyAlignment="1">
      <alignment vertical="center"/>
    </xf>
    <xf numFmtId="0" fontId="0" fillId="0" borderId="0" xfId="0" applyAlignment="1">
      <alignment horizontal="center" wrapText="1"/>
    </xf>
    <xf numFmtId="0" fontId="0" fillId="0" borderId="0" xfId="0" applyAlignment="1">
      <alignment horizontal="center" vertical="center" wrapText="1"/>
    </xf>
    <xf numFmtId="44" fontId="15" fillId="0" borderId="0" xfId="1" applyFont="1"/>
    <xf numFmtId="44" fontId="0" fillId="0" borderId="0" xfId="0" applyNumberFormat="1"/>
    <xf numFmtId="165" fontId="0" fillId="0" borderId="0" xfId="2" applyNumberFormat="1" applyFont="1"/>
    <xf numFmtId="44" fontId="15" fillId="0" borderId="0" xfId="0" applyNumberFormat="1" applyFont="1"/>
    <xf numFmtId="7" fontId="15" fillId="0" borderId="0" xfId="1" applyNumberFormat="1" applyFont="1"/>
    <xf numFmtId="7" fontId="0" fillId="0" borderId="0" xfId="0" applyNumberFormat="1"/>
    <xf numFmtId="172" fontId="0" fillId="0" borderId="0" xfId="0" applyNumberFormat="1"/>
    <xf numFmtId="0" fontId="2" fillId="12" borderId="28" xfId="0" applyFont="1" applyFill="1" applyBorder="1" applyAlignment="1">
      <alignment horizontal="center" vertical="center" wrapText="1"/>
    </xf>
    <xf numFmtId="0" fontId="2" fillId="12" borderId="28" xfId="0" applyFont="1" applyFill="1" applyBorder="1" applyAlignment="1">
      <alignment horizontal="center" vertical="center"/>
    </xf>
    <xf numFmtId="0" fontId="0" fillId="12" borderId="28" xfId="0" applyFill="1" applyBorder="1" applyAlignment="1">
      <alignment vertical="center"/>
    </xf>
    <xf numFmtId="5" fontId="0" fillId="12" borderId="29" xfId="0" applyNumberFormat="1" applyFill="1" applyBorder="1" applyAlignment="1">
      <alignment vertical="center"/>
    </xf>
    <xf numFmtId="0" fontId="0" fillId="12" borderId="29" xfId="0" applyFill="1" applyBorder="1" applyAlignment="1">
      <alignment vertical="center"/>
    </xf>
    <xf numFmtId="5" fontId="15" fillId="12" borderId="30" xfId="0" applyNumberFormat="1" applyFont="1" applyFill="1" applyBorder="1" applyAlignment="1">
      <alignment vertical="center"/>
    </xf>
    <xf numFmtId="5" fontId="0" fillId="12" borderId="30" xfId="0" applyNumberFormat="1" applyFont="1" applyFill="1" applyBorder="1" applyAlignment="1">
      <alignment vertical="center"/>
    </xf>
    <xf numFmtId="5" fontId="0" fillId="12" borderId="29" xfId="0" applyNumberFormat="1" applyFill="1" applyBorder="1" applyAlignment="1">
      <alignment horizontal="right" vertical="center"/>
    </xf>
    <xf numFmtId="10" fontId="15" fillId="12" borderId="29" xfId="2" applyNumberFormat="1" applyFont="1" applyFill="1" applyBorder="1" applyAlignment="1">
      <alignment vertical="center"/>
    </xf>
    <xf numFmtId="165" fontId="7" fillId="12" borderId="29" xfId="2" applyNumberFormat="1" applyFont="1" applyFill="1" applyBorder="1" applyAlignment="1">
      <alignment vertical="center"/>
    </xf>
    <xf numFmtId="165" fontId="15" fillId="12" borderId="29" xfId="2" applyNumberFormat="1" applyFont="1" applyFill="1" applyBorder="1" applyAlignment="1">
      <alignment vertical="center"/>
    </xf>
    <xf numFmtId="5" fontId="2" fillId="12" borderId="29" xfId="0" applyNumberFormat="1" applyFont="1" applyFill="1" applyBorder="1" applyAlignment="1">
      <alignment horizontal="right" vertical="center"/>
    </xf>
    <xf numFmtId="5" fontId="7" fillId="12" borderId="29" xfId="1" applyNumberFormat="1" applyFont="1" applyFill="1" applyBorder="1" applyAlignment="1">
      <alignment horizontal="right" vertical="center"/>
    </xf>
    <xf numFmtId="10" fontId="15" fillId="12" borderId="29" xfId="2" applyNumberFormat="1" applyFont="1" applyFill="1" applyBorder="1" applyAlignment="1">
      <alignment horizontal="center" vertical="center"/>
    </xf>
    <xf numFmtId="5" fontId="2" fillId="12" borderId="31" xfId="0" applyNumberFormat="1" applyFont="1" applyFill="1" applyBorder="1" applyAlignment="1">
      <alignment vertical="center"/>
    </xf>
    <xf numFmtId="0" fontId="0" fillId="12" borderId="5" xfId="0" applyFill="1" applyBorder="1" applyAlignment="1">
      <alignment vertical="center"/>
    </xf>
    <xf numFmtId="5" fontId="15" fillId="12" borderId="29" xfId="1" applyNumberFormat="1" applyFont="1" applyFill="1" applyBorder="1" applyAlignment="1">
      <alignment horizontal="right" vertical="center"/>
    </xf>
    <xf numFmtId="5" fontId="15" fillId="12" borderId="26" xfId="1" applyNumberFormat="1" applyFont="1" applyFill="1" applyBorder="1" applyAlignment="1">
      <alignment horizontal="right" vertical="center"/>
    </xf>
    <xf numFmtId="5" fontId="7" fillId="12" borderId="26" xfId="1" applyNumberFormat="1" applyFont="1" applyFill="1" applyBorder="1" applyAlignment="1">
      <alignment horizontal="right" vertical="center"/>
    </xf>
    <xf numFmtId="10" fontId="15" fillId="12" borderId="29" xfId="2" applyNumberFormat="1" applyFont="1" applyFill="1" applyBorder="1" applyAlignment="1">
      <alignment horizontal="right" vertical="center"/>
    </xf>
    <xf numFmtId="10" fontId="15" fillId="12" borderId="26" xfId="2" applyNumberFormat="1" applyFont="1" applyFill="1" applyBorder="1" applyAlignment="1">
      <alignment horizontal="right" vertical="center"/>
    </xf>
    <xf numFmtId="5" fontId="8" fillId="12" borderId="29" xfId="1" applyNumberFormat="1" applyFont="1" applyFill="1" applyBorder="1" applyAlignment="1">
      <alignment horizontal="right" vertical="center"/>
    </xf>
    <xf numFmtId="5" fontId="8" fillId="12" borderId="26" xfId="1" applyNumberFormat="1" applyFont="1" applyFill="1" applyBorder="1" applyAlignment="1">
      <alignment horizontal="right" vertical="center"/>
    </xf>
    <xf numFmtId="0" fontId="0" fillId="12" borderId="26" xfId="0" applyFill="1" applyBorder="1" applyAlignment="1">
      <alignment vertical="center"/>
    </xf>
    <xf numFmtId="5" fontId="2" fillId="12" borderId="10" xfId="0" applyNumberFormat="1" applyFont="1" applyFill="1" applyBorder="1" applyAlignment="1">
      <alignment vertical="center"/>
    </xf>
    <xf numFmtId="9" fontId="15" fillId="12" borderId="5" xfId="0" applyNumberFormat="1" applyFont="1" applyFill="1" applyBorder="1" applyAlignment="1">
      <alignment vertical="center"/>
    </xf>
    <xf numFmtId="5" fontId="0" fillId="12" borderId="26" xfId="0" applyNumberFormat="1" applyFill="1" applyBorder="1" applyAlignment="1">
      <alignment vertical="center"/>
    </xf>
    <xf numFmtId="5" fontId="0" fillId="12" borderId="26" xfId="0" applyNumberFormat="1" applyFont="1" applyFill="1" applyBorder="1" applyAlignment="1">
      <alignment vertical="center"/>
    </xf>
    <xf numFmtId="165" fontId="0" fillId="12" borderId="26" xfId="2" applyNumberFormat="1" applyFont="1" applyFill="1" applyBorder="1" applyAlignment="1">
      <alignment vertical="center"/>
    </xf>
    <xf numFmtId="165" fontId="15" fillId="12" borderId="26" xfId="2" applyNumberFormat="1" applyFont="1" applyFill="1" applyBorder="1" applyAlignment="1">
      <alignment vertical="center"/>
    </xf>
    <xf numFmtId="9" fontId="15" fillId="12" borderId="28" xfId="0" applyNumberFormat="1" applyFont="1" applyFill="1" applyBorder="1" applyAlignment="1">
      <alignment vertical="center"/>
    </xf>
    <xf numFmtId="5" fontId="0" fillId="12" borderId="29" xfId="0" applyNumberFormat="1" applyFont="1" applyFill="1" applyBorder="1" applyAlignment="1">
      <alignment vertical="center"/>
    </xf>
    <xf numFmtId="165" fontId="0" fillId="12" borderId="29" xfId="2" applyNumberFormat="1" applyFont="1" applyFill="1" applyBorder="1" applyAlignment="1">
      <alignment vertical="center"/>
    </xf>
    <xf numFmtId="165" fontId="15" fillId="12" borderId="26" xfId="0" applyNumberFormat="1" applyFont="1" applyFill="1" applyBorder="1" applyAlignment="1">
      <alignment vertical="center"/>
    </xf>
    <xf numFmtId="165" fontId="7" fillId="12" borderId="26" xfId="0" applyNumberFormat="1" applyFont="1" applyFill="1" applyBorder="1" applyAlignment="1">
      <alignment vertical="center"/>
    </xf>
    <xf numFmtId="5" fontId="15" fillId="12" borderId="26" xfId="0" applyNumberFormat="1" applyFont="1" applyFill="1" applyBorder="1" applyAlignment="1">
      <alignment vertical="center"/>
    </xf>
    <xf numFmtId="165" fontId="15" fillId="12" borderId="29" xfId="0" applyNumberFormat="1" applyFont="1" applyFill="1" applyBorder="1" applyAlignment="1">
      <alignment vertical="center"/>
    </xf>
    <xf numFmtId="165" fontId="7" fillId="12" borderId="29" xfId="0" applyNumberFormat="1" applyFont="1" applyFill="1" applyBorder="1" applyAlignment="1">
      <alignment vertical="center"/>
    </xf>
    <xf numFmtId="5" fontId="15" fillId="12" borderId="29" xfId="0" applyNumberFormat="1" applyFont="1" applyFill="1" applyBorder="1" applyAlignment="1">
      <alignment vertical="center"/>
    </xf>
    <xf numFmtId="0" fontId="15" fillId="12" borderId="28" xfId="0" applyFont="1" applyFill="1" applyBorder="1" applyAlignment="1">
      <alignment vertical="center"/>
    </xf>
    <xf numFmtId="5" fontId="8" fillId="12" borderId="31" xfId="0" applyNumberFormat="1" applyFont="1" applyFill="1" applyBorder="1" applyAlignment="1">
      <alignment vertical="center"/>
    </xf>
    <xf numFmtId="5" fontId="2" fillId="12" borderId="7" xfId="0" applyNumberFormat="1" applyFont="1" applyFill="1" applyBorder="1" applyAlignment="1">
      <alignment vertical="center"/>
    </xf>
    <xf numFmtId="5" fontId="15" fillId="12" borderId="29" xfId="0" applyNumberFormat="1" applyFont="1" applyFill="1" applyBorder="1" applyAlignment="1">
      <alignment horizontal="right" vertical="center"/>
    </xf>
    <xf numFmtId="165" fontId="2" fillId="0" borderId="0" xfId="2" applyNumberFormat="1" applyFont="1" applyBorder="1" applyAlignment="1">
      <alignment vertical="center"/>
    </xf>
    <xf numFmtId="165" fontId="7" fillId="0" borderId="29" xfId="2" applyNumberFormat="1" applyFont="1" applyFill="1" applyBorder="1" applyAlignment="1">
      <alignment vertical="center"/>
    </xf>
    <xf numFmtId="165" fontId="15" fillId="0" borderId="29" xfId="2" applyNumberFormat="1" applyFont="1" applyFill="1" applyBorder="1" applyAlignment="1">
      <alignment vertical="center"/>
    </xf>
    <xf numFmtId="0" fontId="2" fillId="0" borderId="7" xfId="0" applyFont="1" applyBorder="1" applyAlignment="1">
      <alignment horizontal="center" vertical="center" wrapText="1"/>
    </xf>
    <xf numFmtId="9" fontId="15" fillId="11" borderId="28" xfId="0" applyNumberFormat="1" applyFont="1" applyFill="1" applyBorder="1" applyAlignment="1">
      <alignment vertical="center"/>
    </xf>
    <xf numFmtId="5" fontId="0" fillId="11" borderId="29" xfId="0" applyNumberFormat="1" applyFont="1" applyFill="1" applyBorder="1" applyAlignment="1">
      <alignment vertical="center"/>
    </xf>
    <xf numFmtId="165" fontId="0" fillId="11" borderId="29" xfId="2" applyNumberFormat="1" applyFont="1" applyFill="1" applyBorder="1" applyAlignment="1">
      <alignment vertical="center"/>
    </xf>
    <xf numFmtId="165" fontId="15" fillId="11" borderId="29" xfId="2" applyNumberFormat="1" applyFont="1" applyFill="1" applyBorder="1" applyAlignment="1">
      <alignment vertical="center"/>
    </xf>
    <xf numFmtId="5" fontId="15" fillId="11" borderId="29" xfId="1" applyNumberFormat="1" applyFont="1" applyFill="1" applyBorder="1" applyAlignment="1">
      <alignment horizontal="right" vertical="center"/>
    </xf>
    <xf numFmtId="10" fontId="15" fillId="11" borderId="29" xfId="2" applyNumberFormat="1" applyFont="1" applyFill="1" applyBorder="1" applyAlignment="1">
      <alignment horizontal="right" vertical="center"/>
    </xf>
    <xf numFmtId="5" fontId="8" fillId="11" borderId="29" xfId="1" applyNumberFormat="1" applyFont="1" applyFill="1" applyBorder="1" applyAlignment="1">
      <alignment horizontal="right" vertical="center"/>
    </xf>
    <xf numFmtId="164" fontId="8" fillId="0" borderId="34" xfId="1" applyNumberFormat="1" applyFont="1" applyFill="1" applyBorder="1" applyAlignment="1">
      <alignment horizontal="left" vertical="center" wrapText="1"/>
    </xf>
    <xf numFmtId="164" fontId="8" fillId="0" borderId="33" xfId="1" applyNumberFormat="1" applyFont="1" applyFill="1" applyBorder="1" applyAlignment="1">
      <alignment horizontal="left" vertical="center" wrapText="1"/>
    </xf>
    <xf numFmtId="164" fontId="11" fillId="0" borderId="0" xfId="1" applyNumberFormat="1" applyFont="1" applyFill="1" applyBorder="1" applyAlignment="1">
      <alignment horizontal="left" vertical="center" wrapText="1"/>
    </xf>
    <xf numFmtId="164" fontId="2" fillId="0" borderId="0" xfId="1" applyNumberFormat="1" applyFont="1" applyBorder="1" applyAlignment="1">
      <alignment vertical="center"/>
    </xf>
    <xf numFmtId="173" fontId="0" fillId="0" borderId="0" xfId="0" applyNumberFormat="1" applyAlignment="1">
      <alignment vertical="center"/>
    </xf>
    <xf numFmtId="0" fontId="31"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vertical="center" wrapText="1"/>
    </xf>
    <xf numFmtId="6" fontId="31" fillId="0" borderId="0" xfId="0" applyNumberFormat="1" applyFont="1" applyAlignment="1">
      <alignment horizontal="center" vertical="center"/>
    </xf>
    <xf numFmtId="5" fontId="15" fillId="11" borderId="0" xfId="0" applyNumberFormat="1" applyFont="1" applyFill="1" applyBorder="1" applyAlignment="1">
      <alignment vertical="center"/>
    </xf>
    <xf numFmtId="5" fontId="7" fillId="0" borderId="0" xfId="0" applyNumberFormat="1" applyFont="1" applyFill="1" applyBorder="1" applyAlignment="1">
      <alignment vertical="center"/>
    </xf>
    <xf numFmtId="0" fontId="31" fillId="0" borderId="0" xfId="0" applyFont="1"/>
    <xf numFmtId="0" fontId="31" fillId="0" borderId="0" xfId="0" quotePrefix="1" applyFont="1" applyAlignment="1">
      <alignment horizontal="center"/>
    </xf>
    <xf numFmtId="0" fontId="31" fillId="0" borderId="31" xfId="0" applyFont="1" applyBorder="1"/>
    <xf numFmtId="167" fontId="33" fillId="0" borderId="31" xfId="3" applyNumberFormat="1" applyFont="1" applyBorder="1"/>
    <xf numFmtId="0" fontId="31" fillId="0" borderId="28" xfId="0" applyFont="1" applyBorder="1"/>
    <xf numFmtId="167" fontId="33" fillId="0" borderId="28" xfId="3" applyNumberFormat="1" applyFont="1" applyBorder="1"/>
    <xf numFmtId="0" fontId="31" fillId="0" borderId="26" xfId="0" applyFont="1" applyFill="1" applyBorder="1"/>
    <xf numFmtId="0" fontId="21" fillId="0" borderId="7" xfId="0" applyFont="1" applyBorder="1" applyAlignment="1">
      <alignment horizontal="center" vertical="center" wrapText="1"/>
    </xf>
    <xf numFmtId="167" fontId="37" fillId="11" borderId="7" xfId="3" applyNumberFormat="1" applyFont="1" applyFill="1" applyBorder="1"/>
    <xf numFmtId="167" fontId="33" fillId="0" borderId="5" xfId="3" applyNumberFormat="1" applyFont="1" applyBorder="1"/>
    <xf numFmtId="167" fontId="33" fillId="0" borderId="25" xfId="3" applyNumberFormat="1" applyFont="1" applyBorder="1"/>
    <xf numFmtId="167" fontId="33" fillId="0" borderId="26" xfId="3" applyNumberFormat="1" applyFont="1" applyBorder="1"/>
    <xf numFmtId="0" fontId="31" fillId="0" borderId="0" xfId="0" applyFont="1" applyBorder="1"/>
    <xf numFmtId="167" fontId="31" fillId="0" borderId="26" xfId="0" applyNumberFormat="1" applyFont="1" applyBorder="1"/>
    <xf numFmtId="0" fontId="31" fillId="0" borderId="10" xfId="0" applyFont="1" applyBorder="1"/>
    <xf numFmtId="167" fontId="34" fillId="0" borderId="29" xfId="3" applyNumberFormat="1" applyFont="1" applyBorder="1"/>
    <xf numFmtId="0" fontId="31" fillId="0" borderId="29" xfId="0" applyFont="1" applyBorder="1"/>
    <xf numFmtId="167" fontId="34" fillId="0" borderId="31" xfId="3" applyNumberFormat="1" applyFont="1" applyBorder="1"/>
    <xf numFmtId="0" fontId="21" fillId="11" borderId="7" xfId="0" applyFont="1" applyFill="1" applyBorder="1" applyAlignment="1">
      <alignment horizontal="center"/>
    </xf>
    <xf numFmtId="167" fontId="33" fillId="0" borderId="25" xfId="3" applyNumberFormat="1" applyFont="1" applyFill="1" applyBorder="1"/>
    <xf numFmtId="167" fontId="37" fillId="0" borderId="25" xfId="3" applyNumberFormat="1" applyFont="1" applyFill="1" applyBorder="1"/>
    <xf numFmtId="167" fontId="33" fillId="0" borderId="0" xfId="3" applyNumberFormat="1" applyFont="1" applyBorder="1"/>
    <xf numFmtId="167" fontId="33" fillId="0" borderId="29" xfId="3" applyNumberFormat="1" applyFont="1" applyBorder="1"/>
    <xf numFmtId="167" fontId="33" fillId="0" borderId="6" xfId="3" applyNumberFormat="1" applyFont="1" applyFill="1" applyBorder="1"/>
    <xf numFmtId="167" fontId="33" fillId="0" borderId="0" xfId="3" applyNumberFormat="1" applyFont="1" applyFill="1" applyBorder="1"/>
    <xf numFmtId="167" fontId="37" fillId="0" borderId="0" xfId="3" applyNumberFormat="1" applyFont="1" applyFill="1" applyBorder="1"/>
    <xf numFmtId="167" fontId="31" fillId="0" borderId="29" xfId="0" applyNumberFormat="1" applyFont="1" applyBorder="1"/>
    <xf numFmtId="0" fontId="31" fillId="0" borderId="0" xfId="0" applyFont="1" applyFill="1"/>
    <xf numFmtId="0" fontId="31" fillId="0" borderId="6" xfId="0" applyFont="1" applyFill="1" applyBorder="1"/>
    <xf numFmtId="0" fontId="31" fillId="0" borderId="0" xfId="0" applyFont="1" applyFill="1" applyBorder="1"/>
    <xf numFmtId="0" fontId="21" fillId="0" borderId="0" xfId="0" applyFont="1" applyFill="1" applyBorder="1"/>
    <xf numFmtId="0" fontId="21" fillId="0" borderId="0" xfId="0" applyFont="1" applyFill="1" applyBorder="1" applyAlignment="1">
      <alignment vertical="center"/>
    </xf>
    <xf numFmtId="0" fontId="21" fillId="0" borderId="8" xfId="0" applyFont="1" applyFill="1" applyBorder="1" applyAlignment="1"/>
    <xf numFmtId="0" fontId="21" fillId="0" borderId="0" xfId="0" applyFont="1" applyBorder="1"/>
    <xf numFmtId="0" fontId="21" fillId="0" borderId="26" xfId="0" applyFont="1" applyFill="1" applyBorder="1" applyAlignment="1">
      <alignment horizontal="center" vertical="center" wrapText="1"/>
    </xf>
    <xf numFmtId="167" fontId="33" fillId="0" borderId="26" xfId="3" applyNumberFormat="1" applyFont="1" applyFill="1" applyBorder="1"/>
    <xf numFmtId="167" fontId="31" fillId="0" borderId="26" xfId="0" applyNumberFormat="1" applyFont="1" applyFill="1" applyBorder="1"/>
    <xf numFmtId="167" fontId="37" fillId="0" borderId="26" xfId="3" applyNumberFormat="1" applyFont="1" applyFill="1" applyBorder="1"/>
    <xf numFmtId="0" fontId="21" fillId="0" borderId="25" xfId="0" applyFont="1" applyFill="1" applyBorder="1" applyAlignment="1">
      <alignment horizontal="center" vertical="center"/>
    </xf>
    <xf numFmtId="0" fontId="21" fillId="0" borderId="25" xfId="0" applyFont="1" applyBorder="1" applyAlignment="1">
      <alignment horizontal="center" vertical="center" wrapText="1"/>
    </xf>
    <xf numFmtId="167" fontId="31" fillId="0" borderId="25" xfId="0" applyNumberFormat="1" applyFont="1" applyFill="1" applyBorder="1"/>
    <xf numFmtId="0" fontId="31" fillId="0" borderId="25" xfId="0" applyFont="1" applyFill="1" applyBorder="1"/>
    <xf numFmtId="0" fontId="21" fillId="0" borderId="0" xfId="0" applyFont="1" applyFill="1" applyBorder="1" applyAlignment="1"/>
    <xf numFmtId="0" fontId="21" fillId="0" borderId="0" xfId="0" applyFont="1" applyBorder="1" applyAlignment="1">
      <alignment horizontal="center" vertical="center" wrapText="1"/>
    </xf>
    <xf numFmtId="167" fontId="31" fillId="0" borderId="0" xfId="0" applyNumberFormat="1" applyFont="1" applyFill="1" applyBorder="1"/>
    <xf numFmtId="167" fontId="34" fillId="0" borderId="28" xfId="3" applyNumberFormat="1" applyFont="1" applyBorder="1"/>
    <xf numFmtId="0" fontId="24" fillId="0" borderId="0" xfId="0" applyFont="1" applyAlignment="1">
      <alignment horizontal="center" vertical="center" wrapText="1"/>
    </xf>
    <xf numFmtId="43" fontId="24" fillId="0" borderId="0" xfId="3" applyFont="1" applyAlignment="1">
      <alignment horizontal="center" vertical="center" wrapText="1"/>
    </xf>
    <xf numFmtId="164" fontId="7" fillId="0" borderId="97" xfId="1" applyNumberFormat="1" applyFont="1" applyFill="1" applyBorder="1" applyAlignment="1">
      <alignment vertical="center"/>
    </xf>
    <xf numFmtId="0" fontId="22" fillId="0" borderId="0" xfId="0" applyFont="1" applyBorder="1" applyAlignment="1">
      <alignment horizontal="left" vertical="center" wrapText="1"/>
    </xf>
    <xf numFmtId="0" fontId="24" fillId="0" borderId="0" xfId="0" applyFont="1" applyAlignment="1">
      <alignment horizontal="center" vertical="center" wrapText="1"/>
    </xf>
    <xf numFmtId="164" fontId="2" fillId="11" borderId="101" xfId="0" applyNumberFormat="1" applyFont="1" applyFill="1" applyBorder="1"/>
    <xf numFmtId="0" fontId="21" fillId="0" borderId="0" xfId="0" applyFont="1" applyAlignment="1"/>
    <xf numFmtId="0" fontId="0" fillId="0" borderId="0" xfId="0" applyBorder="1"/>
    <xf numFmtId="167" fontId="0" fillId="0" borderId="0" xfId="0" applyNumberFormat="1"/>
    <xf numFmtId="0" fontId="2" fillId="0" borderId="66" xfId="0" applyFont="1" applyBorder="1"/>
    <xf numFmtId="167" fontId="2" fillId="0" borderId="0" xfId="3" applyNumberFormat="1" applyFont="1" applyBorder="1"/>
    <xf numFmtId="167" fontId="13" fillId="0" borderId="46" xfId="3" applyNumberFormat="1" applyFont="1" applyBorder="1"/>
    <xf numFmtId="0" fontId="0" fillId="0" borderId="66" xfId="0" applyBorder="1"/>
    <xf numFmtId="0" fontId="0" fillId="0" borderId="46" xfId="0" applyBorder="1"/>
    <xf numFmtId="167" fontId="0" fillId="0" borderId="0" xfId="3" applyNumberFormat="1" applyFont="1" applyBorder="1"/>
    <xf numFmtId="167" fontId="15" fillId="0" borderId="46" xfId="3" applyNumberFormat="1" applyFont="1" applyBorder="1"/>
    <xf numFmtId="167" fontId="38" fillId="0" borderId="0" xfId="3" applyNumberFormat="1" applyFont="1" applyBorder="1"/>
    <xf numFmtId="167" fontId="39" fillId="0" borderId="46" xfId="3" applyNumberFormat="1" applyFont="1" applyBorder="1"/>
    <xf numFmtId="167" fontId="2" fillId="0" borderId="46" xfId="3" applyNumberFormat="1" applyFont="1" applyBorder="1"/>
    <xf numFmtId="167" fontId="0" fillId="0" borderId="0" xfId="0" applyNumberFormat="1" applyBorder="1"/>
    <xf numFmtId="167" fontId="0" fillId="0" borderId="46" xfId="0" applyNumberFormat="1" applyBorder="1"/>
    <xf numFmtId="0" fontId="2" fillId="0" borderId="67" xfId="0" applyFont="1" applyBorder="1"/>
    <xf numFmtId="167" fontId="0" fillId="0" borderId="53" xfId="0" applyNumberFormat="1" applyBorder="1"/>
    <xf numFmtId="167" fontId="0" fillId="0" borderId="54" xfId="0" applyNumberFormat="1" applyBorder="1"/>
    <xf numFmtId="0" fontId="2" fillId="0" borderId="83" xfId="0" applyFont="1" applyBorder="1"/>
    <xf numFmtId="0" fontId="2" fillId="0" borderId="55" xfId="0" applyFont="1" applyBorder="1" applyAlignment="1">
      <alignment horizont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0" fillId="0" borderId="0" xfId="0" applyFont="1" applyBorder="1"/>
    <xf numFmtId="0" fontId="0" fillId="0" borderId="46" xfId="0" applyFont="1" applyBorder="1"/>
    <xf numFmtId="167" fontId="22" fillId="0" borderId="0" xfId="0" applyNumberFormat="1" applyFont="1" applyAlignment="1">
      <alignment horizontal="center" vertical="center"/>
    </xf>
    <xf numFmtId="0" fontId="22" fillId="0" borderId="6" xfId="0" applyFont="1" applyBorder="1" applyAlignment="1">
      <alignment horizontal="center" vertical="center" wrapText="1"/>
    </xf>
    <xf numFmtId="0" fontId="22" fillId="0" borderId="6" xfId="0" applyFont="1" applyBorder="1" applyAlignment="1">
      <alignment horizontal="left" vertical="center" wrapText="1"/>
    </xf>
    <xf numFmtId="167" fontId="27" fillId="0" borderId="6" xfId="3" applyNumberFormat="1" applyFont="1" applyBorder="1" applyAlignment="1">
      <alignment horizontal="center" vertical="center" wrapText="1"/>
    </xf>
    <xf numFmtId="167" fontId="22" fillId="0" borderId="6" xfId="3" applyNumberFormat="1" applyFont="1" applyBorder="1" applyAlignment="1">
      <alignment horizontal="center" vertical="center" wrapText="1"/>
    </xf>
    <xf numFmtId="0" fontId="22" fillId="0" borderId="0" xfId="0" applyFont="1" applyBorder="1" applyAlignment="1">
      <alignment horizontal="center" vertical="center" wrapText="1"/>
    </xf>
    <xf numFmtId="167" fontId="22" fillId="0" borderId="0" xfId="3" applyNumberFormat="1" applyFont="1" applyBorder="1" applyAlignment="1">
      <alignment horizontal="center" vertical="center" wrapText="1"/>
    </xf>
    <xf numFmtId="167" fontId="22" fillId="0" borderId="0" xfId="0" applyNumberFormat="1" applyFont="1" applyBorder="1" applyAlignment="1">
      <alignment horizontal="center" vertical="center" wrapText="1"/>
    </xf>
    <xf numFmtId="0" fontId="22" fillId="0" borderId="8" xfId="0" applyFont="1" applyBorder="1" applyAlignment="1">
      <alignment horizontal="center" vertical="center"/>
    </xf>
    <xf numFmtId="9" fontId="22" fillId="0" borderId="8" xfId="2" applyFont="1" applyBorder="1" applyAlignment="1">
      <alignment horizontal="right" vertical="center"/>
    </xf>
    <xf numFmtId="0" fontId="22" fillId="0" borderId="0" xfId="0" applyFont="1" applyBorder="1" applyAlignment="1">
      <alignment horizontal="center" vertical="center"/>
    </xf>
    <xf numFmtId="9" fontId="22" fillId="0" borderId="0" xfId="2" applyFont="1" applyBorder="1" applyAlignment="1">
      <alignment horizontal="right" vertical="center"/>
    </xf>
    <xf numFmtId="0" fontId="27" fillId="0" borderId="6" xfId="0" applyFont="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8" xfId="0" applyFont="1" applyBorder="1" applyAlignment="1">
      <alignment horizontal="left" vertical="center"/>
    </xf>
    <xf numFmtId="0" fontId="24" fillId="11" borderId="18" xfId="0" applyFont="1" applyFill="1" applyBorder="1" applyAlignment="1">
      <alignment horizontal="left" vertical="center" wrapText="1"/>
    </xf>
    <xf numFmtId="0" fontId="24" fillId="11" borderId="19" xfId="0" applyFont="1" applyFill="1" applyBorder="1" applyAlignment="1">
      <alignment horizontal="center" vertical="center" wrapText="1"/>
    </xf>
    <xf numFmtId="0" fontId="24" fillId="11" borderId="20" xfId="0" applyFont="1" applyFill="1" applyBorder="1" applyAlignment="1">
      <alignment horizontal="center" vertical="center" wrapText="1"/>
    </xf>
    <xf numFmtId="0" fontId="25" fillId="11" borderId="21" xfId="0" applyFont="1" applyFill="1" applyBorder="1" applyAlignment="1">
      <alignment vertical="center"/>
    </xf>
    <xf numFmtId="0" fontId="25" fillId="11" borderId="21" xfId="0" applyFont="1" applyFill="1" applyBorder="1" applyAlignment="1">
      <alignment horizontal="center" vertical="center"/>
    </xf>
    <xf numFmtId="0" fontId="25" fillId="11" borderId="21" xfId="0" applyFont="1" applyFill="1" applyBorder="1" applyAlignment="1">
      <alignment horizontal="left" vertical="center" wrapText="1"/>
    </xf>
    <xf numFmtId="0" fontId="24" fillId="11" borderId="22" xfId="0" applyFont="1" applyFill="1" applyBorder="1" applyAlignment="1">
      <alignment horizontal="center" vertical="center" wrapText="1"/>
    </xf>
    <xf numFmtId="0" fontId="27" fillId="0" borderId="0" xfId="0" applyFont="1" applyBorder="1" applyAlignment="1">
      <alignment horizontal="center" vertical="center"/>
    </xf>
    <xf numFmtId="5" fontId="22" fillId="0" borderId="0" xfId="0" applyNumberFormat="1" applyFont="1" applyBorder="1" applyAlignment="1">
      <alignment vertical="center"/>
    </xf>
    <xf numFmtId="0" fontId="22" fillId="0" borderId="17" xfId="0" applyFont="1" applyBorder="1" applyAlignment="1">
      <alignment horizontal="center" vertical="center" wrapText="1"/>
    </xf>
    <xf numFmtId="0" fontId="22" fillId="0" borderId="18" xfId="0" applyFont="1" applyBorder="1" applyAlignment="1">
      <alignment horizontal="left" vertical="center" wrapText="1"/>
    </xf>
    <xf numFmtId="0" fontId="22" fillId="0" borderId="18" xfId="0" applyFont="1" applyBorder="1" applyAlignment="1">
      <alignment horizontal="center" vertical="center" wrapText="1"/>
    </xf>
    <xf numFmtId="167" fontId="22" fillId="0" borderId="18" xfId="3" applyNumberFormat="1" applyFont="1" applyBorder="1" applyAlignment="1">
      <alignment horizontal="center" vertical="center" wrapText="1"/>
    </xf>
    <xf numFmtId="0" fontId="22" fillId="0" borderId="2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21" xfId="0" applyFont="1" applyBorder="1" applyAlignment="1">
      <alignment horizontal="center" vertical="center"/>
    </xf>
    <xf numFmtId="9" fontId="22" fillId="0" borderId="21" xfId="2" applyFont="1" applyBorder="1" applyAlignment="1">
      <alignment horizontal="right" vertical="center"/>
    </xf>
    <xf numFmtId="0" fontId="22" fillId="0" borderId="0" xfId="0" applyFont="1" applyBorder="1" applyAlignment="1">
      <alignment horizontal="left" vertical="top" wrapText="1"/>
    </xf>
    <xf numFmtId="7" fontId="27" fillId="0" borderId="0" xfId="1" applyNumberFormat="1" applyFont="1" applyBorder="1" applyAlignment="1">
      <alignment horizontal="center" vertical="center"/>
    </xf>
    <xf numFmtId="7" fontId="27" fillId="0" borderId="8" xfId="1" applyNumberFormat="1" applyFont="1" applyBorder="1" applyAlignment="1">
      <alignment horizontal="center" vertical="center"/>
    </xf>
    <xf numFmtId="7" fontId="27" fillId="0" borderId="6" xfId="1" applyNumberFormat="1" applyFont="1" applyBorder="1" applyAlignment="1">
      <alignment horizontal="center" vertical="center"/>
    </xf>
    <xf numFmtId="0" fontId="22" fillId="0" borderId="2" xfId="0" applyFont="1" applyBorder="1" applyAlignment="1">
      <alignment vertical="center"/>
    </xf>
    <xf numFmtId="0" fontId="22" fillId="0" borderId="2" xfId="0" applyFont="1" applyBorder="1" applyAlignment="1">
      <alignment horizontal="center" vertical="center"/>
    </xf>
    <xf numFmtId="5" fontId="27" fillId="0" borderId="2" xfId="0" applyNumberFormat="1" applyFont="1" applyBorder="1" applyAlignment="1">
      <alignment vertical="center"/>
    </xf>
    <xf numFmtId="5" fontId="27" fillId="0" borderId="8" xfId="0" applyNumberFormat="1" applyFont="1" applyBorder="1" applyAlignment="1">
      <alignment vertical="center"/>
    </xf>
    <xf numFmtId="0" fontId="22" fillId="0" borderId="106" xfId="0" applyFont="1" applyBorder="1" applyAlignment="1">
      <alignment vertical="center"/>
    </xf>
    <xf numFmtId="0" fontId="22" fillId="0" borderId="107" xfId="0" applyFont="1" applyBorder="1" applyAlignment="1">
      <alignment vertical="center"/>
    </xf>
    <xf numFmtId="0" fontId="22" fillId="0" borderId="21" xfId="0" applyFont="1" applyBorder="1" applyAlignment="1">
      <alignment horizontal="left" vertical="center"/>
    </xf>
    <xf numFmtId="7" fontId="27" fillId="0" borderId="21" xfId="1" applyNumberFormat="1" applyFont="1" applyBorder="1" applyAlignment="1">
      <alignment horizontal="center" vertical="center"/>
    </xf>
    <xf numFmtId="167" fontId="22" fillId="0" borderId="0" xfId="0" applyNumberFormat="1" applyFont="1" applyAlignment="1">
      <alignment vertical="center"/>
    </xf>
    <xf numFmtId="5" fontId="27" fillId="0" borderId="6" xfId="0" applyNumberFormat="1" applyFont="1" applyBorder="1" applyAlignment="1">
      <alignment vertical="center"/>
    </xf>
    <xf numFmtId="165" fontId="22" fillId="0" borderId="21" xfId="2" applyNumberFormat="1" applyFont="1" applyBorder="1" applyAlignment="1">
      <alignment horizontal="right" vertical="center"/>
    </xf>
    <xf numFmtId="9" fontId="22" fillId="0" borderId="8" xfId="2" applyNumberFormat="1" applyFont="1" applyBorder="1" applyAlignment="1">
      <alignment horizontal="right" vertical="center"/>
    </xf>
    <xf numFmtId="7" fontId="12" fillId="0" borderId="33" xfId="1" applyNumberFormat="1" applyFont="1" applyBorder="1" applyAlignment="1">
      <alignment horizontal="center" vertical="center"/>
    </xf>
    <xf numFmtId="165" fontId="13" fillId="6" borderId="0" xfId="2" applyNumberFormat="1" applyFont="1" applyFill="1" applyAlignment="1">
      <alignment horizontal="center" vertical="center"/>
    </xf>
    <xf numFmtId="165" fontId="13" fillId="2" borderId="22" xfId="2" applyNumberFormat="1" applyFont="1" applyFill="1" applyBorder="1" applyAlignment="1">
      <alignment horizontal="center" vertical="center"/>
    </xf>
    <xf numFmtId="165" fontId="13" fillId="2" borderId="21" xfId="2" applyNumberFormat="1" applyFont="1" applyFill="1" applyBorder="1" applyAlignment="1">
      <alignment horizontal="center" vertical="center"/>
    </xf>
    <xf numFmtId="165" fontId="15" fillId="0" borderId="0" xfId="2" applyNumberFormat="1" applyFont="1" applyAlignment="1">
      <alignment horizontal="center" vertical="center"/>
    </xf>
    <xf numFmtId="164" fontId="21" fillId="0" borderId="0" xfId="1" applyNumberFormat="1" applyFont="1" applyAlignment="1">
      <alignment vertical="center"/>
    </xf>
    <xf numFmtId="164" fontId="15" fillId="0" borderId="103" xfId="1" applyNumberFormat="1" applyFont="1" applyBorder="1" applyAlignment="1">
      <alignment vertical="center"/>
    </xf>
    <xf numFmtId="164" fontId="39" fillId="0" borderId="103" xfId="1" applyNumberFormat="1" applyFont="1" applyBorder="1" applyAlignment="1">
      <alignment vertical="center"/>
    </xf>
    <xf numFmtId="165" fontId="13" fillId="7" borderId="0" xfId="2" applyNumberFormat="1" applyFont="1" applyFill="1" applyAlignment="1">
      <alignment horizontal="center" vertical="center"/>
    </xf>
    <xf numFmtId="164" fontId="0" fillId="0" borderId="104" xfId="1" applyNumberFormat="1" applyFont="1" applyBorder="1"/>
    <xf numFmtId="167" fontId="7" fillId="0" borderId="53" xfId="0" applyNumberFormat="1" applyFont="1" applyBorder="1"/>
    <xf numFmtId="10" fontId="15" fillId="0" borderId="26" xfId="2" applyNumberFormat="1" applyFont="1" applyFill="1" applyBorder="1" applyAlignment="1">
      <alignment horizontal="right" vertical="center"/>
    </xf>
    <xf numFmtId="5" fontId="13" fillId="0" borderId="10" xfId="0" applyNumberFormat="1" applyFont="1" applyFill="1" applyBorder="1" applyAlignment="1">
      <alignment vertical="center"/>
    </xf>
    <xf numFmtId="5" fontId="7" fillId="0" borderId="28" xfId="0" applyNumberFormat="1" applyFont="1" applyFill="1" applyBorder="1" applyAlignment="1">
      <alignment vertical="center"/>
    </xf>
    <xf numFmtId="5" fontId="13" fillId="11" borderId="28" xfId="1" applyNumberFormat="1" applyFont="1" applyFill="1" applyBorder="1" applyAlignment="1">
      <alignment horizontal="right" vertical="center"/>
    </xf>
    <xf numFmtId="5" fontId="15" fillId="11" borderId="28" xfId="0" applyNumberFormat="1" applyFont="1" applyFill="1" applyBorder="1" applyAlignment="1">
      <alignment vertical="center"/>
    </xf>
    <xf numFmtId="164" fontId="8" fillId="0" borderId="0" xfId="1" quotePrefix="1" applyNumberFormat="1" applyFont="1" applyFill="1" applyBorder="1" applyAlignment="1">
      <alignment horizontal="left" vertical="center" wrapText="1"/>
    </xf>
    <xf numFmtId="164" fontId="8" fillId="0" borderId="34" xfId="1" quotePrefix="1" applyNumberFormat="1" applyFont="1" applyFill="1" applyBorder="1" applyAlignment="1">
      <alignment horizontal="left" vertical="center" wrapText="1"/>
    </xf>
    <xf numFmtId="0" fontId="0" fillId="0" borderId="0" xfId="0" applyBorder="1" applyAlignment="1">
      <alignment wrapText="1"/>
    </xf>
    <xf numFmtId="0" fontId="0" fillId="0" borderId="26" xfId="0" applyBorder="1" applyAlignment="1">
      <alignment wrapText="1"/>
    </xf>
    <xf numFmtId="5" fontId="7" fillId="12" borderId="29" xfId="0" applyNumberFormat="1" applyFont="1" applyFill="1" applyBorder="1" applyAlignment="1">
      <alignment vertical="center"/>
    </xf>
    <xf numFmtId="9" fontId="7" fillId="12" borderId="28" xfId="0" applyNumberFormat="1" applyFont="1" applyFill="1" applyBorder="1" applyAlignment="1">
      <alignment vertical="center"/>
    </xf>
    <xf numFmtId="10" fontId="7" fillId="12" borderId="29" xfId="2" applyNumberFormat="1" applyFont="1" applyFill="1" applyBorder="1" applyAlignment="1">
      <alignment horizontal="right" vertical="center"/>
    </xf>
    <xf numFmtId="10" fontId="7" fillId="12" borderId="29" xfId="2" applyNumberFormat="1" applyFont="1" applyFill="1" applyBorder="1" applyAlignment="1">
      <alignment horizontal="center" vertical="center"/>
    </xf>
    <xf numFmtId="164" fontId="7" fillId="10" borderId="32" xfId="1" applyNumberFormat="1" applyFont="1" applyFill="1" applyBorder="1" applyAlignment="1">
      <alignment horizontal="left" vertical="center" wrapText="1"/>
    </xf>
    <xf numFmtId="164" fontId="8" fillId="0" borderId="0" xfId="1" applyNumberFormat="1" applyFont="1" applyFill="1" applyAlignment="1">
      <alignment vertical="center" wrapText="1"/>
    </xf>
    <xf numFmtId="164" fontId="8" fillId="0" borderId="32" xfId="1" applyNumberFormat="1" applyFont="1" applyFill="1" applyBorder="1" applyAlignment="1">
      <alignment horizontal="left" vertical="center" wrapText="1"/>
    </xf>
    <xf numFmtId="37" fontId="15" fillId="0" borderId="0" xfId="1" applyNumberFormat="1" applyFont="1" applyFill="1" applyBorder="1" applyAlignment="1">
      <alignment horizontal="center" vertical="center"/>
    </xf>
    <xf numFmtId="7" fontId="15" fillId="0" borderId="0" xfId="1" applyNumberFormat="1" applyFont="1" applyBorder="1" applyAlignment="1">
      <alignment horizontal="center" vertical="center"/>
    </xf>
    <xf numFmtId="44" fontId="15" fillId="0" borderId="0" xfId="1" applyNumberFormat="1" applyFont="1" applyBorder="1" applyAlignment="1">
      <alignment horizontal="center" vertical="center"/>
    </xf>
    <xf numFmtId="164" fontId="14" fillId="0" borderId="0" xfId="1" applyNumberFormat="1" applyFont="1" applyBorder="1" applyAlignment="1">
      <alignment vertical="center"/>
    </xf>
    <xf numFmtId="164" fontId="7" fillId="0" borderId="0" xfId="1" applyNumberFormat="1" applyFont="1" applyFill="1" applyBorder="1" applyAlignment="1">
      <alignment vertical="center"/>
    </xf>
    <xf numFmtId="44" fontId="7" fillId="0" borderId="0" xfId="1" quotePrefix="1" applyNumberFormat="1" applyFont="1" applyFill="1" applyBorder="1" applyAlignment="1">
      <alignment horizontal="left" vertical="center" wrapText="1"/>
    </xf>
    <xf numFmtId="7" fontId="13" fillId="0" borderId="33" xfId="1" applyNumberFormat="1" applyFont="1" applyBorder="1" applyAlignment="1">
      <alignment horizontal="center" vertical="center"/>
    </xf>
    <xf numFmtId="5" fontId="13" fillId="11" borderId="85" xfId="1" applyNumberFormat="1" applyFont="1" applyFill="1" applyBorder="1" applyAlignment="1">
      <alignment horizontal="center" vertical="center"/>
    </xf>
    <xf numFmtId="44" fontId="8" fillId="0" borderId="33" xfId="1" applyNumberFormat="1" applyFont="1" applyFill="1" applyBorder="1" applyAlignment="1">
      <alignment horizontal="left" vertical="center" wrapText="1"/>
    </xf>
    <xf numFmtId="164" fontId="15" fillId="10" borderId="33" xfId="1" applyNumberFormat="1" applyFont="1" applyFill="1" applyBorder="1" applyAlignment="1">
      <alignment vertical="center"/>
    </xf>
    <xf numFmtId="43" fontId="0" fillId="0" borderId="0" xfId="3" applyFont="1" applyBorder="1" applyAlignment="1">
      <alignment horizontal="center" wrapText="1"/>
    </xf>
    <xf numFmtId="0" fontId="0" fillId="0" borderId="0" xfId="0" applyAlignment="1">
      <alignment vertical="center" wrapText="1"/>
    </xf>
    <xf numFmtId="165" fontId="7" fillId="0" borderId="33" xfId="2" applyNumberFormat="1" applyFont="1" applyFill="1" applyBorder="1" applyAlignment="1">
      <alignment horizontal="left" vertical="center" wrapText="1"/>
    </xf>
    <xf numFmtId="0" fontId="12" fillId="0" borderId="0" xfId="0" applyFont="1" applyAlignment="1">
      <alignment vertical="center"/>
    </xf>
    <xf numFmtId="0" fontId="12" fillId="0" borderId="0" xfId="0" applyFont="1" applyFill="1" applyBorder="1" applyAlignment="1">
      <alignment vertical="center"/>
    </xf>
    <xf numFmtId="5" fontId="12" fillId="0" borderId="0" xfId="0" applyNumberFormat="1" applyFont="1" applyFill="1" applyBorder="1" applyAlignment="1">
      <alignment vertical="center"/>
    </xf>
    <xf numFmtId="0" fontId="12" fillId="0" borderId="8" xfId="0" applyFont="1" applyFill="1" applyBorder="1" applyAlignment="1">
      <alignment vertical="center"/>
    </xf>
    <xf numFmtId="2" fontId="0" fillId="0" borderId="0" xfId="0" applyNumberFormat="1" applyAlignment="1">
      <alignment vertical="center"/>
    </xf>
    <xf numFmtId="5" fontId="2" fillId="12" borderId="3" xfId="0" applyNumberFormat="1" applyFont="1" applyFill="1" applyBorder="1" applyAlignment="1">
      <alignment vertical="center"/>
    </xf>
    <xf numFmtId="0" fontId="2" fillId="11" borderId="109" xfId="0" applyFont="1" applyFill="1" applyBorder="1" applyAlignment="1">
      <alignment vertical="center"/>
    </xf>
    <xf numFmtId="5" fontId="2" fillId="11" borderId="56" xfId="0" applyNumberFormat="1" applyFont="1" applyFill="1" applyBorder="1" applyAlignment="1">
      <alignment vertical="center"/>
    </xf>
    <xf numFmtId="5" fontId="2" fillId="11" borderId="110" xfId="0" applyNumberFormat="1" applyFont="1" applyFill="1" applyBorder="1" applyAlignment="1">
      <alignment vertical="center"/>
    </xf>
    <xf numFmtId="5" fontId="2" fillId="0" borderId="111" xfId="0" applyNumberFormat="1" applyFont="1" applyFill="1" applyBorder="1" applyAlignment="1">
      <alignment vertical="center"/>
    </xf>
    <xf numFmtId="5" fontId="0" fillId="0" borderId="56" xfId="0" applyNumberFormat="1" applyBorder="1" applyAlignment="1">
      <alignment vertical="center"/>
    </xf>
    <xf numFmtId="5" fontId="2" fillId="12" borderId="111" xfId="0" applyNumberFormat="1" applyFont="1" applyFill="1" applyBorder="1" applyAlignment="1">
      <alignment vertical="center"/>
    </xf>
    <xf numFmtId="5" fontId="2" fillId="11" borderId="108" xfId="0" applyNumberFormat="1" applyFont="1" applyFill="1" applyBorder="1" applyAlignment="1">
      <alignment vertical="center"/>
    </xf>
    <xf numFmtId="43" fontId="0" fillId="0" borderId="25" xfId="3" applyFont="1" applyBorder="1" applyAlignment="1">
      <alignment vertical="center" wrapText="1"/>
    </xf>
    <xf numFmtId="43" fontId="0" fillId="0" borderId="0" xfId="3" applyFont="1" applyBorder="1" applyAlignment="1">
      <alignment vertical="center" wrapText="1"/>
    </xf>
    <xf numFmtId="0" fontId="2" fillId="0" borderId="7" xfId="0" applyFont="1" applyFill="1" applyBorder="1" applyAlignment="1">
      <alignment horizontal="center" vertical="center"/>
    </xf>
    <xf numFmtId="0" fontId="2" fillId="12" borderId="7" xfId="0" applyFont="1" applyFill="1" applyBorder="1" applyAlignment="1">
      <alignment horizontal="center" vertical="center" wrapText="1"/>
    </xf>
    <xf numFmtId="0" fontId="2" fillId="12" borderId="7" xfId="0" applyFont="1" applyFill="1" applyBorder="1" applyAlignment="1">
      <alignment horizontal="center" vertical="center"/>
    </xf>
    <xf numFmtId="0" fontId="2" fillId="11" borderId="7" xfId="0" applyFont="1" applyFill="1" applyBorder="1" applyAlignment="1">
      <alignment horizontal="center" vertical="center"/>
    </xf>
    <xf numFmtId="5" fontId="8" fillId="0" borderId="112" xfId="1" applyNumberFormat="1" applyFont="1" applyFill="1" applyBorder="1" applyAlignment="1">
      <alignment vertical="center"/>
    </xf>
    <xf numFmtId="165" fontId="8" fillId="0" borderId="113" xfId="2" applyNumberFormat="1" applyFont="1" applyFill="1" applyBorder="1" applyAlignment="1">
      <alignment vertical="center"/>
    </xf>
    <xf numFmtId="5" fontId="8" fillId="11" borderId="108" xfId="1" applyNumberFormat="1" applyFont="1" applyFill="1" applyBorder="1" applyAlignment="1">
      <alignment vertical="center"/>
    </xf>
    <xf numFmtId="5" fontId="8" fillId="0" borderId="114" xfId="1" applyNumberFormat="1" applyFont="1" applyFill="1" applyBorder="1" applyAlignment="1">
      <alignment vertical="center"/>
    </xf>
    <xf numFmtId="5" fontId="8" fillId="11" borderId="85" xfId="1" applyNumberFormat="1" applyFont="1" applyFill="1" applyBorder="1" applyAlignment="1">
      <alignment vertical="center"/>
    </xf>
    <xf numFmtId="5" fontId="8" fillId="0" borderId="90" xfId="1" applyNumberFormat="1" applyFont="1" applyFill="1" applyBorder="1" applyAlignment="1">
      <alignment vertical="center"/>
    </xf>
    <xf numFmtId="165" fontId="8" fillId="0" borderId="89" xfId="2" applyNumberFormat="1" applyFont="1" applyFill="1" applyBorder="1" applyAlignment="1">
      <alignment vertical="center"/>
    </xf>
    <xf numFmtId="0" fontId="0" fillId="0" borderId="8" xfId="0" applyBorder="1" applyAlignment="1">
      <alignment vertical="center" wrapText="1"/>
    </xf>
    <xf numFmtId="43" fontId="0" fillId="0" borderId="25" xfId="3" applyFont="1" applyBorder="1" applyAlignment="1">
      <alignment wrapText="1"/>
    </xf>
    <xf numFmtId="43" fontId="0" fillId="0" borderId="0" xfId="3" applyFont="1" applyBorder="1" applyAlignment="1">
      <alignment wrapText="1"/>
    </xf>
    <xf numFmtId="0" fontId="2" fillId="0" borderId="0" xfId="0" applyFont="1" applyAlignment="1">
      <alignment vertical="center"/>
    </xf>
    <xf numFmtId="0" fontId="5" fillId="0" borderId="0" xfId="0" applyFont="1" applyAlignment="1">
      <alignment vertical="center"/>
    </xf>
    <xf numFmtId="0" fontId="0" fillId="0" borderId="21" xfId="0" applyBorder="1" applyAlignment="1">
      <alignment vertical="center"/>
    </xf>
    <xf numFmtId="0" fontId="2" fillId="0" borderId="0" xfId="0" applyFont="1" applyAlignment="1">
      <alignment horizontal="center" vertical="center"/>
    </xf>
    <xf numFmtId="5" fontId="0" fillId="12" borderId="28" xfId="0" applyNumberFormat="1" applyFill="1" applyBorder="1" applyAlignment="1">
      <alignment vertical="center"/>
    </xf>
    <xf numFmtId="5" fontId="15" fillId="12" borderId="31" xfId="0" applyNumberFormat="1" applyFont="1" applyFill="1" applyBorder="1" applyAlignment="1">
      <alignment vertical="center"/>
    </xf>
    <xf numFmtId="9" fontId="15" fillId="12" borderId="29" xfId="2" applyNumberFormat="1" applyFont="1" applyFill="1" applyBorder="1" applyAlignment="1">
      <alignment vertical="center"/>
    </xf>
    <xf numFmtId="5" fontId="13" fillId="12" borderId="28" xfId="1" applyNumberFormat="1" applyFont="1" applyFill="1" applyBorder="1" applyAlignment="1">
      <alignment horizontal="right" vertical="center"/>
    </xf>
    <xf numFmtId="165" fontId="15" fillId="12" borderId="28" xfId="0" applyNumberFormat="1" applyFont="1" applyFill="1" applyBorder="1" applyAlignment="1">
      <alignment vertical="center"/>
    </xf>
    <xf numFmtId="5" fontId="15" fillId="12" borderId="28" xfId="0" applyNumberFormat="1" applyFont="1" applyFill="1" applyBorder="1" applyAlignment="1">
      <alignment vertical="center"/>
    </xf>
    <xf numFmtId="165" fontId="2" fillId="0" borderId="0" xfId="2" applyNumberFormat="1" applyFont="1" applyAlignment="1">
      <alignment horizontal="right" vertical="center"/>
    </xf>
    <xf numFmtId="165" fontId="4" fillId="0" borderId="0" xfId="2" applyNumberFormat="1" applyFont="1" applyFill="1" applyAlignment="1">
      <alignment vertical="center"/>
    </xf>
    <xf numFmtId="5" fontId="15" fillId="0" borderId="0" xfId="1" applyNumberFormat="1" applyFont="1" applyFill="1" applyBorder="1" applyAlignment="1">
      <alignment horizontal="center" vertical="center"/>
    </xf>
    <xf numFmtId="164" fontId="17" fillId="0" borderId="0" xfId="1" applyNumberFormat="1" applyFont="1" applyFill="1" applyBorder="1" applyAlignment="1">
      <alignment horizontal="center" vertical="center"/>
    </xf>
    <xf numFmtId="164" fontId="0" fillId="0" borderId="0" xfId="1" applyNumberFormat="1" applyFont="1" applyFill="1" applyBorder="1" applyAlignment="1">
      <alignment horizontal="center" vertical="center" wrapText="1"/>
    </xf>
    <xf numFmtId="7" fontId="7" fillId="0" borderId="0" xfId="1" applyNumberFormat="1" applyFont="1" applyBorder="1" applyAlignment="1">
      <alignment horizontal="center" vertical="center"/>
    </xf>
    <xf numFmtId="165" fontId="15" fillId="0" borderId="0" xfId="2" applyNumberFormat="1" applyFont="1" applyBorder="1" applyAlignment="1">
      <alignment horizontal="center" vertical="center"/>
    </xf>
    <xf numFmtId="164" fontId="2" fillId="0" borderId="0" xfId="1" applyNumberFormat="1" applyFont="1" applyFill="1" applyBorder="1" applyAlignment="1">
      <alignment vertical="center" wrapText="1"/>
    </xf>
    <xf numFmtId="165" fontId="0" fillId="0" borderId="29" xfId="0" applyNumberFormat="1" applyFill="1" applyBorder="1" applyAlignment="1">
      <alignment vertical="center"/>
    </xf>
    <xf numFmtId="0" fontId="2" fillId="0" borderId="0" xfId="0" applyFont="1" applyAlignment="1">
      <alignment vertical="center" wrapText="1"/>
    </xf>
    <xf numFmtId="0" fontId="0" fillId="11" borderId="0" xfId="0" applyFill="1" applyBorder="1" applyAlignment="1">
      <alignment vertical="center"/>
    </xf>
    <xf numFmtId="0" fontId="5" fillId="0" borderId="0" xfId="0" applyFont="1" applyBorder="1" applyAlignment="1">
      <alignment vertical="center"/>
    </xf>
    <xf numFmtId="37" fontId="0" fillId="0" borderId="0" xfId="3" applyNumberFormat="1" applyFont="1" applyAlignment="1">
      <alignment horizontal="center"/>
    </xf>
    <xf numFmtId="164" fontId="0" fillId="0" borderId="0" xfId="1" applyNumberFormat="1" applyFont="1" applyAlignment="1"/>
    <xf numFmtId="164" fontId="0" fillId="0" borderId="0" xfId="1" applyNumberFormat="1" applyFont="1" applyFill="1" applyAlignment="1"/>
    <xf numFmtId="164" fontId="0" fillId="0" borderId="0" xfId="1" applyNumberFormat="1" applyFont="1" applyFill="1" applyAlignment="1">
      <alignment horizontal="center"/>
    </xf>
    <xf numFmtId="164" fontId="0" fillId="0" borderId="0" xfId="1" applyNumberFormat="1" applyFont="1" applyAlignment="1">
      <alignment horizontal="center"/>
    </xf>
    <xf numFmtId="164" fontId="12" fillId="0" borderId="0" xfId="1" applyNumberFormat="1" applyFont="1" applyFill="1" applyAlignment="1">
      <alignment horizontal="left" wrapText="1"/>
    </xf>
    <xf numFmtId="164" fontId="12" fillId="0" borderId="0" xfId="1" applyNumberFormat="1" applyFont="1" applyAlignment="1">
      <alignment horizontal="left" wrapText="1"/>
    </xf>
    <xf numFmtId="37" fontId="40" fillId="0" borderId="0" xfId="3" applyNumberFormat="1" applyFont="1" applyAlignment="1">
      <alignment horizontal="center"/>
    </xf>
    <xf numFmtId="164" fontId="40" fillId="0" borderId="0" xfId="1" applyNumberFormat="1" applyFont="1" applyAlignment="1"/>
    <xf numFmtId="164" fontId="40" fillId="0" borderId="0" xfId="1" applyNumberFormat="1" applyFont="1" applyFill="1" applyAlignment="1"/>
    <xf numFmtId="164" fontId="40" fillId="0" borderId="0" xfId="1" applyNumberFormat="1" applyFont="1" applyFill="1" applyAlignment="1">
      <alignment horizontal="center"/>
    </xf>
    <xf numFmtId="164" fontId="40" fillId="0" borderId="0" xfId="1" applyNumberFormat="1" applyFont="1" applyAlignment="1">
      <alignment horizontal="center"/>
    </xf>
    <xf numFmtId="164" fontId="41" fillId="0" borderId="0" xfId="1" applyNumberFormat="1" applyFont="1" applyFill="1" applyAlignment="1">
      <alignment horizontal="left" wrapText="1"/>
    </xf>
    <xf numFmtId="164" fontId="41" fillId="0" borderId="0" xfId="1" applyNumberFormat="1" applyFont="1" applyAlignment="1">
      <alignment horizontal="left" wrapText="1"/>
    </xf>
    <xf numFmtId="164" fontId="6" fillId="0" borderId="0" xfId="1" applyNumberFormat="1" applyFont="1" applyAlignment="1"/>
    <xf numFmtId="164" fontId="6" fillId="0" borderId="0" xfId="1" applyNumberFormat="1" applyFont="1" applyAlignment="1">
      <alignment vertical="center"/>
    </xf>
    <xf numFmtId="164" fontId="11" fillId="0" borderId="34" xfId="1" quotePrefix="1" applyNumberFormat="1" applyFont="1" applyFill="1" applyBorder="1" applyAlignment="1">
      <alignment horizontal="left" vertical="center" wrapText="1"/>
    </xf>
    <xf numFmtId="164" fontId="2" fillId="0" borderId="0" xfId="1" applyNumberFormat="1" applyFont="1" applyAlignment="1"/>
    <xf numFmtId="164" fontId="0" fillId="0" borderId="0" xfId="1" applyNumberFormat="1" applyFont="1" applyFill="1" applyAlignment="1">
      <alignment horizontal="left" wrapText="1"/>
    </xf>
    <xf numFmtId="164" fontId="0" fillId="0" borderId="0" xfId="1" applyNumberFormat="1" applyFont="1" applyAlignment="1">
      <alignment horizontal="left" wrapText="1"/>
    </xf>
    <xf numFmtId="164" fontId="7" fillId="0" borderId="34" xfId="1" quotePrefix="1" applyNumberFormat="1" applyFont="1" applyFill="1" applyBorder="1" applyAlignment="1">
      <alignment horizontal="left" vertical="center" wrapText="1"/>
    </xf>
    <xf numFmtId="164" fontId="8" fillId="0" borderId="33" xfId="1" quotePrefix="1" applyNumberFormat="1" applyFont="1" applyFill="1" applyBorder="1" applyAlignment="1">
      <alignment horizontal="left" vertical="center" wrapText="1"/>
    </xf>
    <xf numFmtId="5" fontId="7" fillId="12" borderId="25" xfId="1" applyNumberFormat="1" applyFont="1" applyFill="1" applyBorder="1" applyAlignment="1">
      <alignment horizontal="right" vertical="center"/>
    </xf>
    <xf numFmtId="0" fontId="0" fillId="12" borderId="25" xfId="0" applyFill="1" applyBorder="1" applyAlignment="1">
      <alignment vertical="center"/>
    </xf>
    <xf numFmtId="5" fontId="2" fillId="12" borderId="25" xfId="0" applyNumberFormat="1" applyFont="1" applyFill="1" applyBorder="1" applyAlignment="1">
      <alignment horizontal="right" vertical="center"/>
    </xf>
    <xf numFmtId="10" fontId="15" fillId="12" borderId="25" xfId="2" applyNumberFormat="1" applyFont="1" applyFill="1" applyBorder="1" applyAlignment="1">
      <alignment horizontal="right" vertical="center"/>
    </xf>
    <xf numFmtId="5" fontId="2" fillId="12" borderId="9" xfId="0" applyNumberFormat="1" applyFont="1" applyFill="1" applyBorder="1" applyAlignment="1">
      <alignment vertical="center"/>
    </xf>
    <xf numFmtId="10" fontId="7" fillId="12" borderId="25" xfId="2" applyNumberFormat="1" applyFont="1" applyFill="1" applyBorder="1" applyAlignment="1">
      <alignment horizontal="center" vertical="center"/>
    </xf>
    <xf numFmtId="0" fontId="0" fillId="12" borderId="6" xfId="0" applyFill="1" applyBorder="1" applyAlignment="1">
      <alignment vertical="center"/>
    </xf>
    <xf numFmtId="165" fontId="8" fillId="0" borderId="33" xfId="2" applyNumberFormat="1" applyFont="1" applyBorder="1" applyAlignment="1">
      <alignment horizontal="center" vertical="center"/>
    </xf>
    <xf numFmtId="0" fontId="24" fillId="0" borderId="0" xfId="0" applyFont="1" applyAlignment="1">
      <alignment horizontal="center" vertical="center" wrapText="1"/>
    </xf>
    <xf numFmtId="5" fontId="2" fillId="0" borderId="0" xfId="0" applyNumberFormat="1" applyFont="1" applyFill="1" applyBorder="1" applyAlignment="1">
      <alignment vertical="center" wrapText="1"/>
    </xf>
    <xf numFmtId="0" fontId="8" fillId="0" borderId="0" xfId="0" applyFont="1" applyFill="1" applyBorder="1" applyAlignment="1">
      <alignment vertical="center" wrapText="1"/>
    </xf>
    <xf numFmtId="0" fontId="8" fillId="0" borderId="21" xfId="0" applyFont="1" applyFill="1" applyBorder="1" applyAlignment="1">
      <alignment vertical="center" wrapText="1"/>
    </xf>
    <xf numFmtId="5" fontId="27" fillId="0" borderId="21" xfId="1" applyNumberFormat="1" applyFont="1" applyBorder="1" applyAlignment="1">
      <alignment horizontal="center" vertical="center"/>
    </xf>
    <xf numFmtId="164" fontId="8" fillId="0" borderId="32" xfId="1" applyNumberFormat="1" applyFont="1" applyFill="1" applyBorder="1" applyAlignment="1">
      <alignment horizontal="left" vertical="center" wrapText="1"/>
    </xf>
    <xf numFmtId="165" fontId="8" fillId="0" borderId="0" xfId="2" applyNumberFormat="1" applyFont="1" applyBorder="1" applyAlignment="1">
      <alignment horizontal="center" vertical="center"/>
    </xf>
    <xf numFmtId="165" fontId="2" fillId="0" borderId="0" xfId="2" applyNumberFormat="1" applyFont="1" applyFill="1" applyAlignment="1">
      <alignment vertical="center"/>
    </xf>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4" fontId="2" fillId="0" borderId="102" xfId="1" applyNumberFormat="1" applyFont="1" applyBorder="1" applyAlignment="1">
      <alignment horizontal="center" vertical="center" wrapText="1"/>
    </xf>
    <xf numFmtId="164" fontId="2" fillId="0" borderId="103" xfId="1" applyNumberFormat="1" applyFont="1" applyBorder="1" applyAlignment="1">
      <alignment horizontal="center" vertical="center" wrapText="1"/>
    </xf>
    <xf numFmtId="164" fontId="2" fillId="0" borderId="104" xfId="1" applyNumberFormat="1" applyFont="1" applyBorder="1" applyAlignment="1">
      <alignment horizontal="center" vertical="center" wrapText="1"/>
    </xf>
    <xf numFmtId="0" fontId="21" fillId="0" borderId="0" xfId="0" applyFont="1" applyAlignment="1">
      <alignment horizontal="center"/>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0" fillId="0" borderId="33" xfId="1" applyNumberFormat="1" applyFont="1" applyFill="1" applyBorder="1" applyAlignment="1">
      <alignment horizontal="center" vertical="center" wrapText="1"/>
    </xf>
    <xf numFmtId="164" fontId="7" fillId="0" borderId="33" xfId="1" applyNumberFormat="1" applyFont="1" applyBorder="1" applyAlignment="1">
      <alignment horizontal="left" vertical="center" wrapText="1"/>
    </xf>
    <xf numFmtId="164" fontId="2" fillId="9" borderId="0" xfId="1" applyNumberFormat="1" applyFont="1" applyFill="1" applyAlignment="1">
      <alignment horizontal="center" vertical="center" wrapText="1"/>
    </xf>
    <xf numFmtId="168" fontId="2" fillId="4" borderId="12" xfId="1" applyNumberFormat="1" applyFont="1" applyFill="1" applyBorder="1" applyAlignment="1">
      <alignment horizontal="center"/>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8" fillId="0" borderId="0" xfId="1" applyNumberFormat="1" applyFont="1" applyFill="1" applyAlignment="1">
      <alignment horizontal="left" vertical="center" wrapText="1"/>
    </xf>
    <xf numFmtId="164" fontId="8" fillId="0" borderId="32" xfId="1" applyNumberFormat="1" applyFont="1" applyFill="1" applyBorder="1" applyAlignment="1">
      <alignment horizontal="left" vertical="center" wrapText="1"/>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0" fontId="22" fillId="0" borderId="19" xfId="0" applyFont="1" applyBorder="1" applyAlignment="1">
      <alignment horizontal="left" vertical="top" wrapText="1"/>
    </xf>
    <xf numFmtId="0" fontId="22" fillId="0" borderId="24" xfId="0" applyFont="1" applyBorder="1" applyAlignment="1">
      <alignment horizontal="left" vertical="top" wrapText="1"/>
    </xf>
    <xf numFmtId="0" fontId="22" fillId="0" borderId="82" xfId="0" applyFont="1" applyBorder="1" applyAlignment="1">
      <alignment horizontal="left" vertical="top" wrapText="1"/>
    </xf>
    <xf numFmtId="0" fontId="22" fillId="0" borderId="105" xfId="0" applyFont="1" applyBorder="1" applyAlignment="1">
      <alignment horizontal="left" vertical="top" wrapText="1"/>
    </xf>
    <xf numFmtId="0" fontId="22" fillId="0" borderId="22" xfId="0" applyFont="1" applyBorder="1" applyAlignment="1">
      <alignment horizontal="left" vertical="top" wrapText="1"/>
    </xf>
    <xf numFmtId="0" fontId="23" fillId="0" borderId="0" xfId="0" applyFont="1" applyAlignment="1">
      <alignment horizontal="center" vertical="center"/>
    </xf>
    <xf numFmtId="0" fontId="24" fillId="0" borderId="0" xfId="0" applyFont="1" applyAlignment="1">
      <alignment horizontal="center" vertical="center" wrapText="1"/>
    </xf>
    <xf numFmtId="0" fontId="24" fillId="11" borderId="17" xfId="0" applyFont="1" applyFill="1" applyBorder="1" applyAlignment="1">
      <alignment horizontal="left" vertical="center" wrapText="1"/>
    </xf>
    <xf numFmtId="0" fontId="24" fillId="11" borderId="18" xfId="0" applyFont="1" applyFill="1" applyBorder="1" applyAlignment="1">
      <alignment horizontal="left" vertical="center" wrapText="1"/>
    </xf>
    <xf numFmtId="0" fontId="25" fillId="11" borderId="18" xfId="0" applyFont="1" applyFill="1" applyBorder="1" applyAlignment="1">
      <alignment horizontal="center" vertical="center" wrapText="1"/>
    </xf>
    <xf numFmtId="0" fontId="25" fillId="11" borderId="21" xfId="0" applyFont="1" applyFill="1" applyBorder="1" applyAlignment="1">
      <alignment horizontal="center" vertical="center" wrapText="1"/>
    </xf>
    <xf numFmtId="0" fontId="22" fillId="0" borderId="6" xfId="0" applyFont="1" applyBorder="1" applyAlignment="1">
      <alignment horizontal="left" vertical="top" wrapText="1"/>
    </xf>
    <xf numFmtId="0" fontId="22" fillId="0" borderId="0" xfId="0" applyFont="1" applyBorder="1" applyAlignment="1">
      <alignment horizontal="left" vertical="top" wrapText="1"/>
    </xf>
    <xf numFmtId="0" fontId="22" fillId="0" borderId="8" xfId="0" applyFont="1" applyBorder="1" applyAlignment="1">
      <alignment horizontal="left" vertical="top" wrapText="1"/>
    </xf>
    <xf numFmtId="0" fontId="24" fillId="11" borderId="20" xfId="0" applyFont="1" applyFill="1" applyBorder="1" applyAlignment="1">
      <alignment horizontal="left" vertical="center" wrapText="1"/>
    </xf>
    <xf numFmtId="0" fontId="24" fillId="11" borderId="21" xfId="0" applyFont="1" applyFill="1" applyBorder="1" applyAlignment="1">
      <alignment horizontal="left" vertical="center" wrapText="1"/>
    </xf>
    <xf numFmtId="0" fontId="22" fillId="0" borderId="18" xfId="0" applyFont="1" applyBorder="1" applyAlignment="1">
      <alignment horizontal="left" vertical="top" wrapText="1"/>
    </xf>
    <xf numFmtId="0" fontId="22" fillId="0" borderId="21" xfId="0" applyFont="1" applyBorder="1" applyAlignment="1">
      <alignment horizontal="left" vertical="top" wrapText="1"/>
    </xf>
    <xf numFmtId="167" fontId="25" fillId="11" borderId="18" xfId="0" applyNumberFormat="1" applyFont="1" applyFill="1" applyBorder="1" applyAlignment="1">
      <alignment horizontal="center" vertical="center" wrapText="1"/>
    </xf>
    <xf numFmtId="0" fontId="22" fillId="0" borderId="44" xfId="0" applyFont="1" applyBorder="1" applyAlignment="1">
      <alignment horizontal="left" vertical="center" wrapText="1"/>
    </xf>
    <xf numFmtId="0" fontId="22" fillId="0" borderId="6" xfId="0" applyFont="1" applyBorder="1" applyAlignment="1">
      <alignment horizontal="left" vertical="center" wrapText="1"/>
    </xf>
    <xf numFmtId="0" fontId="21" fillId="0" borderId="0" xfId="0" applyFont="1" applyAlignment="1">
      <alignment horizontal="center" vertical="center"/>
    </xf>
    <xf numFmtId="0" fontId="0" fillId="0" borderId="29" xfId="0" applyFill="1" applyBorder="1" applyAlignment="1">
      <alignment horizontal="left" vertical="center" wrapText="1"/>
    </xf>
    <xf numFmtId="0" fontId="2" fillId="0" borderId="4" xfId="0" applyFont="1" applyBorder="1" applyAlignment="1">
      <alignment horizontal="center" vertical="center"/>
    </xf>
    <xf numFmtId="0" fontId="0" fillId="0" borderId="6" xfId="0" applyBorder="1"/>
    <xf numFmtId="0" fontId="0" fillId="0" borderId="5" xfId="0" applyBorder="1"/>
    <xf numFmtId="5" fontId="0" fillId="7" borderId="25" xfId="0" applyNumberFormat="1" applyFill="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5"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3" fontId="0" fillId="0" borderId="25" xfId="3" applyFont="1" applyBorder="1" applyAlignment="1">
      <alignment horizontal="center" vertical="center" wrapText="1"/>
    </xf>
    <xf numFmtId="43" fontId="0" fillId="0" borderId="0" xfId="3" applyFont="1" applyBorder="1" applyAlignment="1">
      <alignment horizontal="center" vertical="center" wrapText="1"/>
    </xf>
    <xf numFmtId="5" fontId="2" fillId="13" borderId="17" xfId="0" applyNumberFormat="1" applyFont="1" applyFill="1" applyBorder="1" applyAlignment="1">
      <alignment horizontal="center" vertical="center" wrapText="1"/>
    </xf>
    <xf numFmtId="5" fontId="2" fillId="13" borderId="18" xfId="0" applyNumberFormat="1" applyFont="1" applyFill="1" applyBorder="1" applyAlignment="1">
      <alignment horizontal="center" vertical="center" wrapText="1"/>
    </xf>
    <xf numFmtId="5" fontId="2" fillId="13" borderId="19" xfId="0" applyNumberFormat="1" applyFont="1" applyFill="1" applyBorder="1" applyAlignment="1">
      <alignment horizontal="center" vertical="center" wrapText="1"/>
    </xf>
    <xf numFmtId="5" fontId="2" fillId="13" borderId="23" xfId="0" applyNumberFormat="1" applyFont="1" applyFill="1" applyBorder="1" applyAlignment="1">
      <alignment horizontal="center" vertical="center" wrapText="1"/>
    </xf>
    <xf numFmtId="5" fontId="2" fillId="13" borderId="0" xfId="0" applyNumberFormat="1" applyFont="1" applyFill="1" applyBorder="1" applyAlignment="1">
      <alignment horizontal="center" vertical="center" wrapText="1"/>
    </xf>
    <xf numFmtId="5" fontId="2" fillId="13" borderId="24" xfId="0" applyNumberFormat="1" applyFont="1" applyFill="1" applyBorder="1" applyAlignment="1">
      <alignment horizontal="center" vertical="center" wrapText="1"/>
    </xf>
    <xf numFmtId="5" fontId="2" fillId="13" borderId="20" xfId="0" applyNumberFormat="1" applyFont="1" applyFill="1" applyBorder="1" applyAlignment="1">
      <alignment horizontal="center" vertical="center" wrapText="1"/>
    </xf>
    <xf numFmtId="5" fontId="2" fillId="13" borderId="21" xfId="0" applyNumberFormat="1" applyFont="1" applyFill="1" applyBorder="1" applyAlignment="1">
      <alignment horizontal="center" vertical="center" wrapText="1"/>
    </xf>
    <xf numFmtId="5" fontId="2" fillId="13" borderId="22" xfId="0" applyNumberFormat="1" applyFont="1" applyFill="1" applyBorder="1" applyAlignment="1">
      <alignment horizontal="center" vertical="center" wrapText="1"/>
    </xf>
    <xf numFmtId="0" fontId="0" fillId="0" borderId="25" xfId="0" applyBorder="1" applyAlignment="1">
      <alignment horizontal="center" wrapText="1"/>
    </xf>
    <xf numFmtId="0" fontId="0" fillId="0" borderId="0" xfId="0" applyBorder="1" applyAlignment="1">
      <alignment horizontal="center" wrapText="1"/>
    </xf>
    <xf numFmtId="0" fontId="0" fillId="0" borderId="26" xfId="0" applyBorder="1" applyAlignment="1">
      <alignment horizontal="center" wrapText="1"/>
    </xf>
    <xf numFmtId="43" fontId="0" fillId="0" borderId="25" xfId="3" applyFont="1" applyBorder="1" applyAlignment="1">
      <alignment horizontal="center" wrapText="1"/>
    </xf>
    <xf numFmtId="43" fontId="0" fillId="0" borderId="0" xfId="3" applyFont="1" applyBorder="1" applyAlignment="1">
      <alignment horizont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0" fillId="0" borderId="25" xfId="0" applyFill="1" applyBorder="1" applyAlignment="1">
      <alignment horizontal="center" vertical="center" wrapText="1"/>
    </xf>
    <xf numFmtId="0" fontId="8" fillId="13" borderId="17" xfId="0" applyFont="1" applyFill="1" applyBorder="1" applyAlignment="1">
      <alignment horizontal="center" vertical="center" wrapText="1"/>
    </xf>
    <xf numFmtId="0" fontId="8" fillId="13" borderId="18" xfId="0" applyFont="1" applyFill="1" applyBorder="1" applyAlignment="1">
      <alignment horizontal="center" vertical="center" wrapText="1"/>
    </xf>
    <xf numFmtId="0" fontId="8" fillId="13" borderId="19" xfId="0" applyFont="1" applyFill="1" applyBorder="1" applyAlignment="1">
      <alignment horizontal="center" vertical="center" wrapText="1"/>
    </xf>
    <xf numFmtId="0" fontId="8" fillId="13" borderId="23" xfId="0" applyFont="1" applyFill="1" applyBorder="1" applyAlignment="1">
      <alignment horizontal="center" vertical="center" wrapText="1"/>
    </xf>
    <xf numFmtId="0" fontId="8" fillId="13" borderId="0" xfId="0" applyFont="1" applyFill="1" applyBorder="1" applyAlignment="1">
      <alignment horizontal="center" vertical="center" wrapText="1"/>
    </xf>
    <xf numFmtId="0" fontId="8" fillId="13" borderId="24" xfId="0" applyFont="1" applyFill="1" applyBorder="1" applyAlignment="1">
      <alignment horizontal="center" vertical="center" wrapText="1"/>
    </xf>
    <xf numFmtId="0" fontId="8" fillId="13" borderId="20" xfId="0" applyFont="1" applyFill="1" applyBorder="1" applyAlignment="1">
      <alignment horizontal="center" vertical="center" wrapText="1"/>
    </xf>
    <xf numFmtId="0" fontId="8" fillId="13" borderId="21" xfId="0" applyFont="1" applyFill="1" applyBorder="1" applyAlignment="1">
      <alignment horizontal="center" vertical="center" wrapText="1"/>
    </xf>
    <xf numFmtId="0" fontId="8" fillId="13" borderId="22"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0" fillId="0" borderId="25"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0" xfId="0" applyBorder="1" applyAlignment="1">
      <alignment horizontal="left" vertical="center" wrapText="1"/>
    </xf>
    <xf numFmtId="0" fontId="0" fillId="0" borderId="46" xfId="0" applyBorder="1" applyAlignment="1">
      <alignment horizontal="left"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2" fillId="11" borderId="57" xfId="0" applyFont="1" applyFill="1" applyBorder="1" applyAlignment="1">
      <alignment horizontal="center" vertical="center"/>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0" borderId="64" xfId="0" applyFont="1" applyBorder="1" applyAlignment="1">
      <alignment horizontal="center" vertical="center" textRotation="90" wrapText="1"/>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5" fillId="0" borderId="0" xfId="0" applyFont="1" applyBorder="1" applyAlignment="1">
      <alignment horizontal="center" vertical="center" textRotation="90" wrapText="1"/>
    </xf>
    <xf numFmtId="0" fontId="25" fillId="11" borderId="80" xfId="0" applyFont="1" applyFill="1" applyBorder="1" applyAlignment="1">
      <alignment horizontal="center" vertical="center"/>
    </xf>
    <xf numFmtId="0" fontId="25" fillId="11" borderId="81" xfId="0" applyFont="1" applyFill="1" applyBorder="1" applyAlignment="1">
      <alignment horizontal="center" vertical="center"/>
    </xf>
    <xf numFmtId="0" fontId="22" fillId="0" borderId="0" xfId="0" applyFont="1" applyBorder="1" applyAlignment="1">
      <alignment horizontal="left" vertical="center" wrapText="1"/>
    </xf>
    <xf numFmtId="0" fontId="22" fillId="0" borderId="24" xfId="0" applyFont="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80" xfId="0" applyFont="1" applyFill="1" applyBorder="1" applyAlignment="1">
      <alignment horizontal="left" vertical="center" wrapText="1"/>
    </xf>
    <xf numFmtId="0" fontId="22" fillId="0" borderId="81" xfId="0" applyFont="1" applyFill="1" applyBorder="1" applyAlignment="1">
      <alignment horizontal="left" vertical="center" wrapText="1"/>
    </xf>
    <xf numFmtId="0" fontId="24" fillId="11" borderId="79" xfId="0" applyFont="1" applyFill="1" applyBorder="1" applyAlignment="1">
      <alignment horizontal="left" vertical="center"/>
    </xf>
    <xf numFmtId="0" fontId="24" fillId="11" borderId="80" xfId="0" applyFont="1" applyFill="1" applyBorder="1" applyAlignment="1">
      <alignment horizontal="left" vertical="center"/>
    </xf>
    <xf numFmtId="0" fontId="24" fillId="11" borderId="81" xfId="0" applyFont="1" applyFill="1" applyBorder="1" applyAlignment="1">
      <alignment horizontal="left" vertical="center"/>
    </xf>
    <xf numFmtId="43" fontId="22" fillId="0" borderId="18" xfId="3" applyFont="1" applyFill="1" applyBorder="1" applyAlignment="1">
      <alignment horizontal="left" vertical="center" wrapText="1"/>
    </xf>
    <xf numFmtId="43" fontId="22" fillId="0" borderId="19" xfId="3"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22" xfId="0" applyFont="1" applyFill="1" applyBorder="1" applyAlignment="1">
      <alignment horizontal="left" vertical="center" wrapText="1"/>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6" fillId="0" borderId="0" xfId="0" applyFont="1" applyAlignment="1">
      <alignment horizontal="center"/>
    </xf>
    <xf numFmtId="0" fontId="21" fillId="11" borderId="1" xfId="0" applyFont="1" applyFill="1" applyBorder="1" applyAlignment="1">
      <alignment horizontal="center" vertical="center"/>
    </xf>
    <xf numFmtId="0" fontId="21" fillId="11" borderId="3" xfId="0" applyFont="1" applyFill="1" applyBorder="1" applyAlignment="1">
      <alignment horizontal="center" vertical="center"/>
    </xf>
    <xf numFmtId="0" fontId="32" fillId="0" borderId="0" xfId="0" applyFont="1" applyAlignment="1">
      <alignment horizontal="center"/>
    </xf>
    <xf numFmtId="0" fontId="32" fillId="0" borderId="0" xfId="0" applyFont="1" applyAlignment="1">
      <alignment horizontal="center" vertical="center"/>
    </xf>
    <xf numFmtId="5" fontId="7" fillId="11" borderId="31" xfId="0" applyNumberFormat="1" applyFont="1" applyFill="1" applyBorder="1" applyAlignment="1">
      <alignment vertical="center"/>
    </xf>
    <xf numFmtId="0" fontId="2" fillId="11" borderId="29" xfId="0" applyFont="1" applyFill="1" applyBorder="1" applyAlignment="1">
      <alignment horizontal="center" vertical="center" wrapText="1"/>
    </xf>
    <xf numFmtId="5" fontId="8" fillId="0" borderId="79" xfId="0" applyNumberFormat="1" applyFont="1" applyFill="1" applyBorder="1" applyAlignment="1">
      <alignment horizontal="center" vertical="center"/>
    </xf>
    <xf numFmtId="5" fontId="8" fillId="0" borderId="81" xfId="0" applyNumberFormat="1" applyFont="1" applyFill="1" applyBorder="1" applyAlignment="1">
      <alignment horizontal="center" vertical="center"/>
    </xf>
    <xf numFmtId="7" fontId="12" fillId="0" borderId="0" xfId="0" applyNumberFormat="1" applyFont="1" applyAlignment="1">
      <alignment vertical="center"/>
    </xf>
    <xf numFmtId="7" fontId="8" fillId="0" borderId="0" xfId="0" applyNumberFormat="1" applyFont="1" applyFill="1" applyBorder="1" applyAlignment="1">
      <alignment vertical="center" wrapText="1"/>
    </xf>
    <xf numFmtId="9" fontId="15" fillId="0" borderId="0" xfId="0" applyNumberFormat="1" applyFont="1" applyAlignment="1">
      <alignment horizontal="center" vertical="center"/>
    </xf>
    <xf numFmtId="5" fontId="0" fillId="11" borderId="29" xfId="0" applyNumberFormat="1" applyFont="1" applyFill="1" applyBorder="1" applyAlignment="1">
      <alignment horizontal="right" vertical="center"/>
    </xf>
    <xf numFmtId="5" fontId="8" fillId="0" borderId="80" xfId="0" applyNumberFormat="1" applyFont="1" applyFill="1" applyBorder="1" applyAlignment="1">
      <alignment horizontal="center" vertical="center"/>
    </xf>
    <xf numFmtId="0" fontId="2" fillId="0" borderId="29" xfId="0" applyFont="1" applyFill="1" applyBorder="1" applyAlignment="1">
      <alignment horizontal="center" vertical="center" wrapText="1"/>
    </xf>
    <xf numFmtId="5" fontId="7" fillId="0" borderId="31" xfId="0" applyNumberFormat="1" applyFont="1" applyFill="1" applyBorder="1" applyAlignment="1">
      <alignment vertical="center"/>
    </xf>
    <xf numFmtId="5" fontId="0" fillId="0" borderId="29" xfId="0" applyNumberFormat="1" applyFont="1" applyFill="1" applyBorder="1" applyAlignment="1">
      <alignment horizontal="right" vertical="center"/>
    </xf>
    <xf numFmtId="0" fontId="2" fillId="0" borderId="0" xfId="0" applyFont="1" applyBorder="1" applyAlignment="1">
      <alignment horizontal="center" vertical="center"/>
    </xf>
    <xf numFmtId="0" fontId="5" fillId="0" borderId="0" xfId="0" applyFont="1" applyAlignment="1">
      <alignment horizontal="center"/>
    </xf>
    <xf numFmtId="0" fontId="40" fillId="0" borderId="0" xfId="0" applyFont="1"/>
    <xf numFmtId="0" fontId="40" fillId="0" borderId="0" xfId="0" applyFont="1" applyBorder="1"/>
    <xf numFmtId="0" fontId="5" fillId="0" borderId="23" xfId="0" applyFont="1" applyBorder="1" applyAlignment="1">
      <alignment horizontal="center"/>
    </xf>
    <xf numFmtId="0" fontId="40" fillId="0" borderId="20" xfId="0" applyFont="1" applyBorder="1" applyAlignment="1">
      <alignment horizontal="right"/>
    </xf>
    <xf numFmtId="0" fontId="40" fillId="0" borderId="0" xfId="0" applyFont="1" applyAlignment="1">
      <alignment horizontal="left" wrapText="1"/>
    </xf>
    <xf numFmtId="0" fontId="40" fillId="0" borderId="0" xfId="0" applyFont="1" applyAlignment="1">
      <alignment horizontal="left" wrapText="1"/>
    </xf>
    <xf numFmtId="0" fontId="40" fillId="0" borderId="0" xfId="0" applyFont="1" applyAlignment="1">
      <alignment horizontal="left" vertical="top" wrapText="1"/>
    </xf>
    <xf numFmtId="5" fontId="5" fillId="0" borderId="29" xfId="0" applyNumberFormat="1" applyFont="1" applyBorder="1"/>
    <xf numFmtId="9" fontId="40" fillId="0" borderId="15" xfId="0" applyNumberFormat="1" applyFont="1" applyBorder="1" applyAlignment="1">
      <alignment horizontal="center" vertical="center"/>
    </xf>
    <xf numFmtId="0" fontId="40" fillId="0" borderId="0" xfId="0" applyFont="1" applyBorder="1" applyAlignment="1">
      <alignment horizontal="left" wrapText="1"/>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20" xfId="0" applyFont="1" applyBorder="1" applyAlignment="1">
      <alignment vertical="center"/>
    </xf>
    <xf numFmtId="5" fontId="5" fillId="0" borderId="86" xfId="3" applyNumberFormat="1" applyFont="1" applyBorder="1"/>
    <xf numFmtId="5" fontId="40" fillId="0" borderId="115" xfId="0" applyNumberFormat="1" applyFont="1" applyBorder="1"/>
    <xf numFmtId="9" fontId="40" fillId="0" borderId="14" xfId="0" applyNumberFormat="1" applyFont="1" applyBorder="1" applyAlignment="1">
      <alignment horizontal="center" vertical="center" wrapText="1"/>
    </xf>
    <xf numFmtId="9" fontId="40" fillId="0" borderId="16" xfId="0" applyNumberFormat="1" applyFont="1" applyBorder="1" applyAlignment="1">
      <alignment horizontal="center" vertical="center"/>
    </xf>
    <xf numFmtId="5" fontId="5" fillId="0" borderId="116" xfId="0" applyNumberFormat="1" applyFont="1" applyBorder="1"/>
    <xf numFmtId="5" fontId="5" fillId="0" borderId="121" xfId="0" applyNumberFormat="1" applyFont="1" applyBorder="1"/>
    <xf numFmtId="5" fontId="40" fillId="0" borderId="117" xfId="0" applyNumberFormat="1" applyFont="1" applyBorder="1"/>
    <xf numFmtId="5" fontId="40" fillId="0" borderId="30" xfId="0" applyNumberFormat="1" applyFont="1" applyBorder="1"/>
    <xf numFmtId="5" fontId="40" fillId="0" borderId="122" xfId="0" applyNumberFormat="1" applyFont="1" applyBorder="1"/>
    <xf numFmtId="0" fontId="43" fillId="14" borderId="0" xfId="0" applyFont="1" applyFill="1" applyBorder="1" applyAlignment="1">
      <alignment horizontal="center" vertical="center" wrapText="1"/>
    </xf>
    <xf numFmtId="5" fontId="44" fillId="14" borderId="0" xfId="3" applyNumberFormat="1" applyFont="1" applyFill="1" applyBorder="1"/>
    <xf numFmtId="5" fontId="43" fillId="14" borderId="0" xfId="0" applyNumberFormat="1" applyFont="1" applyFill="1" applyBorder="1"/>
    <xf numFmtId="0" fontId="5" fillId="0" borderId="120"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94" xfId="0" applyFont="1" applyBorder="1" applyAlignment="1">
      <alignment horizontal="center" vertical="center" wrapText="1"/>
    </xf>
    <xf numFmtId="0" fontId="5" fillId="0" borderId="115" xfId="0" applyFont="1" applyBorder="1" applyAlignment="1">
      <alignment horizontal="center"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0000FF"/>
      <color rgb="FFFFCCFF"/>
      <color rgb="FFFF99FF"/>
      <color rgb="FF99FFCC"/>
      <color rgb="FFFFFFCC"/>
      <color rgb="FFCCCC00"/>
      <color rgb="FFFFCC66"/>
      <color rgb="FFFFFF99"/>
      <color rgb="FFCCFFCC"/>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2020 Budget Expenses</a:t>
            </a:r>
          </a:p>
        </c:rich>
      </c:tx>
      <c:overlay val="1"/>
    </c:title>
    <c:autoTitleDeleted val="0"/>
    <c:plotArea>
      <c:layout>
        <c:manualLayout>
          <c:layoutTarget val="inner"/>
          <c:xMode val="edge"/>
          <c:yMode val="edge"/>
          <c:x val="5.8542030985622592E-2"/>
          <c:y val="0.16612377850162866"/>
          <c:w val="0.58823529411763598"/>
          <c:h val="0.79804560260588886"/>
        </c:manualLayout>
      </c:layout>
      <c:pieChart>
        <c:varyColors val="1"/>
        <c:ser>
          <c:idx val="0"/>
          <c:order val="0"/>
          <c:dLbls>
            <c:dLblPos val="ctr"/>
            <c:showLegendKey val="0"/>
            <c:showVal val="1"/>
            <c:showCatName val="0"/>
            <c:showSerName val="0"/>
            <c:showPercent val="0"/>
            <c:showBubbleSize val="0"/>
            <c:showLeaderLines val="1"/>
          </c:dLbls>
          <c:cat>
            <c:multiLvlStrRef>
              <c:f>'New Year-Full Year'!$AD$4:$AG$4</c:f>
            </c:multiLvlStrRef>
          </c:cat>
          <c:val>
            <c:numRef>
              <c:f>'New Year-Full Year'!$AD$167:$AG$167</c:f>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000000000000999" l="0.70000000000000062" r="0.70000000000000062" t="0.750000000000009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00"/>
            </a:pPr>
            <a:r>
              <a:rPr lang="en-US" sz="3200"/>
              <a:t>LCR</a:t>
            </a:r>
            <a:r>
              <a:rPr lang="en-US" sz="3200" baseline="0"/>
              <a:t> </a:t>
            </a:r>
            <a:r>
              <a:rPr lang="en-US" sz="3200"/>
              <a:t>2019 Operating Budget Expenses</a:t>
            </a:r>
          </a:p>
        </c:rich>
      </c:tx>
      <c:overlay val="1"/>
    </c:title>
    <c:autoTitleDeleted val="0"/>
    <c:plotArea>
      <c:layout>
        <c:manualLayout>
          <c:layoutTarget val="inner"/>
          <c:xMode val="edge"/>
          <c:yMode val="edge"/>
          <c:x val="5.8542030985622592E-2"/>
          <c:y val="0.16612377850162866"/>
          <c:w val="0.58823529411763542"/>
          <c:h val="0.79804560260589019"/>
        </c:manualLayout>
      </c:layout>
      <c:pieChart>
        <c:varyColors val="1"/>
        <c:ser>
          <c:idx val="0"/>
          <c:order val="0"/>
          <c:dLbls>
            <c:txPr>
              <a:bodyPr/>
              <a:lstStyle/>
              <a:p>
                <a:pPr>
                  <a:defRPr sz="2000"/>
                </a:pPr>
                <a:endParaRPr lang="en-US"/>
              </a:p>
            </c:txPr>
            <c:dLblPos val="ctr"/>
            <c:showLegendKey val="0"/>
            <c:showVal val="1"/>
            <c:showCatName val="0"/>
            <c:showSerName val="0"/>
            <c:showPercent val="0"/>
            <c:showBubbleSize val="0"/>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a:defRPr sz="2000"/>
          </a:pPr>
          <a:endParaRPr lang="en-US"/>
        </a:p>
      </c:txPr>
    </c:legend>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chartsheets/sheet1.xml><?xml version="1.0" encoding="utf-8"?>
<chartsheet xmlns="http://schemas.openxmlformats.org/spreadsheetml/2006/main" xmlns:r="http://schemas.openxmlformats.org/officeDocument/2006/relationships">
  <sheetPr>
    <tabColor theme="7" tint="-0.499984740745262"/>
  </sheetPr>
  <sheetViews>
    <sheetView zoomScale="66" workbookViewId="0" zoomToFit="1"/>
  </sheetViews>
  <pageMargins left="0.7" right="0.7" top="0.75" bottom="0.75" header="0.3" footer="0.3"/>
  <pageSetup orientation="landscape" horizontalDpi="4294967293"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28</xdr:col>
      <xdr:colOff>539750</xdr:colOff>
      <xdr:row>169</xdr:row>
      <xdr:rowOff>6350</xdr:rowOff>
    </xdr:from>
    <xdr:to>
      <xdr:col>34</xdr:col>
      <xdr:colOff>82550</xdr:colOff>
      <xdr:row>190</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C2"/>
  <sheetViews>
    <sheetView showGridLines="0" workbookViewId="0">
      <selection activeCell="C3" sqref="C3"/>
    </sheetView>
  </sheetViews>
  <sheetFormatPr defaultColWidth="9.08984375" defaultRowHeight="23.5" x14ac:dyDescent="0.55000000000000004"/>
  <cols>
    <col min="1" max="1" width="23.08984375" style="40" customWidth="1"/>
    <col min="2" max="16384" width="9.08984375" style="40"/>
  </cols>
  <sheetData>
    <row r="2" spans="1:3" x14ac:dyDescent="0.55000000000000004">
      <c r="A2" s="40" t="s">
        <v>156</v>
      </c>
      <c r="C2" s="41">
        <v>2022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79"/>
  <sheetViews>
    <sheetView showGridLines="0" topLeftCell="A29" workbookViewId="0">
      <selection activeCell="Z29" sqref="Z29"/>
    </sheetView>
  </sheetViews>
  <sheetFormatPr defaultRowHeight="14.5" x14ac:dyDescent="0.35"/>
  <cols>
    <col min="1" max="1" width="7.453125" style="136" customWidth="1"/>
    <col min="2" max="2" width="39.26953125" style="136" customWidth="1"/>
    <col min="3" max="4" width="9.54296875" style="136" hidden="1" customWidth="1"/>
    <col min="5" max="5" width="9.36328125" style="136" customWidth="1"/>
    <col min="6" max="6" width="1.7265625" style="136" hidden="1" customWidth="1"/>
    <col min="7" max="7" width="4" style="136" hidden="1" customWidth="1"/>
    <col min="8" max="8" width="4.54296875" style="136" hidden="1" customWidth="1"/>
    <col min="9" max="9" width="4" style="136" hidden="1" customWidth="1"/>
    <col min="10" max="10" width="4.54296875" style="136" hidden="1" customWidth="1"/>
    <col min="11" max="11" width="4" style="136" hidden="1" customWidth="1"/>
    <col min="12" max="12" width="4.54296875" style="136" hidden="1" customWidth="1"/>
    <col min="13" max="13" width="4" style="136" hidden="1" customWidth="1"/>
    <col min="14" max="14" width="4.54296875" style="136" hidden="1" customWidth="1"/>
    <col min="15" max="15" width="4.26953125" style="136" hidden="1" customWidth="1"/>
    <col min="16" max="16" width="9.36328125" style="136" customWidth="1"/>
    <col min="17" max="17" width="1.7265625" style="136" customWidth="1"/>
    <col min="18" max="18" width="4" style="136" customWidth="1"/>
    <col min="19" max="19" width="4.54296875" style="136" customWidth="1"/>
    <col min="20" max="20" width="4" style="136" customWidth="1"/>
    <col min="21" max="21" width="4.54296875" style="136" customWidth="1"/>
    <col min="22" max="22" width="4" style="136" customWidth="1"/>
    <col min="23" max="23" width="4.54296875" style="136" customWidth="1"/>
    <col min="24" max="24" width="4" style="136" customWidth="1"/>
    <col min="25" max="25" width="4.54296875" style="136" customWidth="1"/>
    <col min="26" max="26" width="4.26953125" style="136" customWidth="1"/>
    <col min="27" max="16384" width="8.7265625" style="136"/>
  </cols>
  <sheetData>
    <row r="1" spans="1:26" ht="21" x14ac:dyDescent="0.35">
      <c r="A1" s="977" t="s">
        <v>312</v>
      </c>
      <c r="B1" s="977"/>
      <c r="C1" s="977"/>
      <c r="D1" s="977"/>
      <c r="E1" s="977"/>
      <c r="F1" s="977"/>
      <c r="G1" s="977"/>
      <c r="H1" s="977"/>
      <c r="I1" s="977"/>
      <c r="J1" s="977"/>
      <c r="K1" s="977"/>
      <c r="L1" s="977"/>
      <c r="M1" s="977"/>
      <c r="N1" s="977"/>
      <c r="O1" s="977"/>
      <c r="P1" s="977"/>
      <c r="Q1" s="977"/>
      <c r="R1" s="977"/>
      <c r="S1" s="977"/>
      <c r="T1" s="977"/>
      <c r="U1" s="977"/>
      <c r="V1" s="977"/>
      <c r="W1" s="977"/>
      <c r="X1" s="977"/>
      <c r="Y1" s="977"/>
      <c r="Z1" s="977"/>
    </row>
    <row r="2" spans="1:26" ht="15" thickBot="1" x14ac:dyDescent="0.4"/>
    <row r="3" spans="1:26" ht="32.5" customHeight="1" thickTop="1" thickBot="1" x14ac:dyDescent="0.4">
      <c r="C3" s="499" t="s">
        <v>184</v>
      </c>
      <c r="D3" s="499" t="s">
        <v>281</v>
      </c>
      <c r="E3" s="500" t="s">
        <v>366</v>
      </c>
      <c r="F3" s="1026" t="s">
        <v>311</v>
      </c>
      <c r="G3" s="1026"/>
      <c r="H3" s="1026"/>
      <c r="I3" s="1026"/>
      <c r="J3" s="1026"/>
      <c r="K3" s="1026"/>
      <c r="L3" s="1026"/>
      <c r="M3" s="1026"/>
      <c r="N3" s="1026"/>
      <c r="O3" s="1027"/>
      <c r="P3" s="500" t="s">
        <v>457</v>
      </c>
      <c r="Q3" s="1026" t="s">
        <v>311</v>
      </c>
      <c r="R3" s="1026"/>
      <c r="S3" s="1026"/>
      <c r="T3" s="1026"/>
      <c r="U3" s="1026"/>
      <c r="V3" s="1026"/>
      <c r="W3" s="1026"/>
      <c r="X3" s="1026"/>
      <c r="Y3" s="1026"/>
      <c r="Z3" s="1027"/>
    </row>
    <row r="4" spans="1:26" ht="15" thickTop="1" x14ac:dyDescent="0.35">
      <c r="A4" s="444"/>
      <c r="B4" s="317"/>
      <c r="C4" s="505"/>
      <c r="D4" s="506"/>
      <c r="E4" s="501"/>
      <c r="F4" s="312"/>
      <c r="G4" s="325">
        <v>4</v>
      </c>
      <c r="H4" s="303" t="s">
        <v>226</v>
      </c>
      <c r="I4" s="325">
        <v>4</v>
      </c>
      <c r="J4" s="303" t="s">
        <v>229</v>
      </c>
      <c r="K4" s="325">
        <v>4</v>
      </c>
      <c r="L4" s="303" t="s">
        <v>224</v>
      </c>
      <c r="M4" s="325">
        <v>4</v>
      </c>
      <c r="N4" s="303" t="s">
        <v>231</v>
      </c>
      <c r="O4" s="307"/>
      <c r="P4" s="501"/>
      <c r="Q4" s="312"/>
      <c r="R4" s="325">
        <v>5</v>
      </c>
      <c r="S4" s="303" t="s">
        <v>226</v>
      </c>
      <c r="T4" s="325">
        <v>4</v>
      </c>
      <c r="U4" s="303" t="s">
        <v>229</v>
      </c>
      <c r="V4" s="325">
        <v>5</v>
      </c>
      <c r="W4" s="303" t="s">
        <v>224</v>
      </c>
      <c r="X4" s="325">
        <v>5</v>
      </c>
      <c r="Y4" s="303" t="s">
        <v>231</v>
      </c>
      <c r="Z4" s="307"/>
    </row>
    <row r="5" spans="1:26" x14ac:dyDescent="0.35">
      <c r="A5" s="324"/>
      <c r="B5" s="303"/>
      <c r="C5" s="506"/>
      <c r="D5" s="506"/>
      <c r="E5" s="501"/>
      <c r="F5" s="312"/>
      <c r="G5" s="325">
        <v>4</v>
      </c>
      <c r="H5" s="303" t="s">
        <v>227</v>
      </c>
      <c r="I5" s="325">
        <v>5</v>
      </c>
      <c r="J5" s="303" t="s">
        <v>222</v>
      </c>
      <c r="K5" s="325">
        <v>5</v>
      </c>
      <c r="L5" s="303" t="s">
        <v>230</v>
      </c>
      <c r="M5" s="325">
        <v>5</v>
      </c>
      <c r="N5" s="303" t="s">
        <v>232</v>
      </c>
      <c r="O5" s="307"/>
      <c r="P5" s="501"/>
      <c r="Q5" s="312"/>
      <c r="R5" s="325">
        <v>4</v>
      </c>
      <c r="S5" s="303" t="s">
        <v>227</v>
      </c>
      <c r="T5" s="325">
        <v>5</v>
      </c>
      <c r="U5" s="303" t="s">
        <v>222</v>
      </c>
      <c r="V5" s="325">
        <v>4</v>
      </c>
      <c r="W5" s="303" t="s">
        <v>230</v>
      </c>
      <c r="X5" s="325">
        <v>4</v>
      </c>
      <c r="Y5" s="303" t="s">
        <v>232</v>
      </c>
      <c r="Z5" s="307"/>
    </row>
    <row r="6" spans="1:26" x14ac:dyDescent="0.35">
      <c r="A6" s="327" t="s">
        <v>220</v>
      </c>
      <c r="B6" s="328" t="s">
        <v>221</v>
      </c>
      <c r="C6" s="507">
        <v>52</v>
      </c>
      <c r="D6" s="507">
        <v>52</v>
      </c>
      <c r="E6" s="502">
        <f>+SUM(G4:G6)+SUM(I4:I6)+SUM(K4:K6)+SUM(M4:M6)</f>
        <v>52</v>
      </c>
      <c r="F6" s="461"/>
      <c r="G6" s="329">
        <v>5</v>
      </c>
      <c r="H6" s="328" t="s">
        <v>228</v>
      </c>
      <c r="I6" s="329">
        <v>4</v>
      </c>
      <c r="J6" s="328" t="s">
        <v>223</v>
      </c>
      <c r="K6" s="329">
        <v>4</v>
      </c>
      <c r="L6" s="328" t="s">
        <v>225</v>
      </c>
      <c r="M6" s="329">
        <v>4</v>
      </c>
      <c r="N6" s="328" t="s">
        <v>233</v>
      </c>
      <c r="O6" s="330"/>
      <c r="P6" s="502">
        <f>+SUM(R4:R6)+SUM(T4:T6)+SUM(V4:V6)+SUM(X4:X6)</f>
        <v>52</v>
      </c>
      <c r="Q6" s="461"/>
      <c r="R6" s="329">
        <v>4</v>
      </c>
      <c r="S6" s="328" t="s">
        <v>228</v>
      </c>
      <c r="T6" s="329">
        <v>4</v>
      </c>
      <c r="U6" s="328" t="s">
        <v>223</v>
      </c>
      <c r="V6" s="329">
        <v>4</v>
      </c>
      <c r="W6" s="328" t="s">
        <v>225</v>
      </c>
      <c r="X6" s="329">
        <v>4</v>
      </c>
      <c r="Y6" s="328" t="s">
        <v>233</v>
      </c>
      <c r="Z6" s="330"/>
    </row>
    <row r="7" spans="1:26" x14ac:dyDescent="0.35">
      <c r="A7" s="331"/>
      <c r="B7" s="332" t="s">
        <v>234</v>
      </c>
      <c r="C7" s="503">
        <v>4</v>
      </c>
      <c r="D7" s="503">
        <v>4</v>
      </c>
      <c r="E7" s="503">
        <v>4</v>
      </c>
      <c r="F7" s="462"/>
      <c r="G7" s="332" t="s">
        <v>283</v>
      </c>
      <c r="H7" s="332"/>
      <c r="I7" s="332"/>
      <c r="J7" s="332"/>
      <c r="K7" s="332"/>
      <c r="L7" s="332"/>
      <c r="M7" s="332"/>
      <c r="N7" s="332"/>
      <c r="O7" s="333"/>
      <c r="P7" s="503">
        <v>4</v>
      </c>
      <c r="Q7" s="462"/>
      <c r="R7" s="332" t="s">
        <v>458</v>
      </c>
      <c r="S7" s="332"/>
      <c r="T7" s="332"/>
      <c r="U7" s="332"/>
      <c r="V7" s="332"/>
      <c r="W7" s="332"/>
      <c r="X7" s="332"/>
      <c r="Y7" s="332"/>
      <c r="Z7" s="333"/>
    </row>
    <row r="8" spans="1:26" x14ac:dyDescent="0.35">
      <c r="A8" s="331"/>
      <c r="B8" s="332" t="s">
        <v>235</v>
      </c>
      <c r="C8" s="503">
        <v>6</v>
      </c>
      <c r="D8" s="503">
        <v>7</v>
      </c>
      <c r="E8" s="503">
        <v>7</v>
      </c>
      <c r="F8" s="462"/>
      <c r="G8" s="332" t="s">
        <v>284</v>
      </c>
      <c r="H8" s="332"/>
      <c r="I8" s="332"/>
      <c r="J8" s="332"/>
      <c r="K8" s="332"/>
      <c r="L8" s="332"/>
      <c r="M8" s="332"/>
      <c r="N8" s="332"/>
      <c r="O8" s="333"/>
      <c r="P8" s="503">
        <v>7</v>
      </c>
      <c r="Q8" s="462"/>
      <c r="R8" s="332" t="s">
        <v>461</v>
      </c>
      <c r="S8" s="332"/>
      <c r="T8" s="332"/>
      <c r="U8" s="332"/>
      <c r="V8" s="332"/>
      <c r="W8" s="332"/>
      <c r="X8" s="332"/>
      <c r="Y8" s="332"/>
      <c r="Z8" s="333"/>
    </row>
    <row r="9" spans="1:26" x14ac:dyDescent="0.35">
      <c r="A9" s="331"/>
      <c r="B9" s="332" t="s">
        <v>287</v>
      </c>
      <c r="C9" s="503">
        <v>1</v>
      </c>
      <c r="D9" s="503">
        <v>1</v>
      </c>
      <c r="E9" s="503">
        <v>1</v>
      </c>
      <c r="F9" s="462"/>
      <c r="G9" s="332" t="s">
        <v>286</v>
      </c>
      <c r="H9" s="332"/>
      <c r="I9" s="332"/>
      <c r="J9" s="332"/>
      <c r="K9" s="332"/>
      <c r="L9" s="332"/>
      <c r="M9" s="332"/>
      <c r="N9" s="332"/>
      <c r="O9" s="333"/>
      <c r="P9" s="503">
        <v>0</v>
      </c>
      <c r="Q9" s="462"/>
      <c r="R9" s="332" t="s">
        <v>459</v>
      </c>
      <c r="S9" s="332"/>
      <c r="T9" s="332"/>
      <c r="U9" s="332"/>
      <c r="V9" s="332"/>
      <c r="W9" s="332"/>
      <c r="X9" s="332"/>
      <c r="Y9" s="332"/>
      <c r="Z9" s="333"/>
    </row>
    <row r="10" spans="1:26" ht="15" thickBot="1" x14ac:dyDescent="0.4">
      <c r="A10" s="326"/>
      <c r="B10" s="313" t="s">
        <v>236</v>
      </c>
      <c r="C10" s="504">
        <v>15</v>
      </c>
      <c r="D10" s="504">
        <v>15</v>
      </c>
      <c r="E10" s="504">
        <v>15</v>
      </c>
      <c r="F10" s="463"/>
      <c r="G10" s="313" t="s">
        <v>285</v>
      </c>
      <c r="H10" s="313"/>
      <c r="I10" s="313"/>
      <c r="J10" s="313"/>
      <c r="K10" s="313"/>
      <c r="L10" s="313"/>
      <c r="M10" s="313"/>
      <c r="N10" s="313"/>
      <c r="O10" s="314"/>
      <c r="P10" s="504">
        <v>15</v>
      </c>
      <c r="Q10" s="463"/>
      <c r="R10" s="313" t="s">
        <v>460</v>
      </c>
      <c r="S10" s="313"/>
      <c r="T10" s="313"/>
      <c r="U10" s="313"/>
      <c r="V10" s="313"/>
      <c r="W10" s="313"/>
      <c r="X10" s="313"/>
      <c r="Y10" s="313"/>
      <c r="Z10" s="314"/>
    </row>
    <row r="11" spans="1:26" ht="16.5" customHeight="1" thickTop="1" thickBot="1" x14ac:dyDescent="0.4">
      <c r="A11" s="334"/>
    </row>
    <row r="12" spans="1:26" ht="49" customHeight="1" thickTop="1" thickBot="1" x14ac:dyDescent="0.4">
      <c r="A12" s="496" t="s">
        <v>218</v>
      </c>
      <c r="B12" s="493"/>
      <c r="C12" s="508">
        <v>3000</v>
      </c>
      <c r="D12" s="508">
        <v>3060</v>
      </c>
      <c r="E12" s="508">
        <v>3091</v>
      </c>
      <c r="F12" s="485"/>
      <c r="G12" s="1028" t="s">
        <v>330</v>
      </c>
      <c r="H12" s="1028"/>
      <c r="I12" s="1028"/>
      <c r="J12" s="1028"/>
      <c r="K12" s="1028"/>
      <c r="L12" s="1028"/>
      <c r="M12" s="1028"/>
      <c r="N12" s="1028"/>
      <c r="O12" s="1029"/>
      <c r="P12" s="807">
        <f>ROUND(+E12*(1+'New Year-Full Year'!F79+0.025),0)</f>
        <v>3168</v>
      </c>
      <c r="Q12" s="485"/>
      <c r="R12" s="1028" t="s">
        <v>330</v>
      </c>
      <c r="S12" s="1028"/>
      <c r="T12" s="1028"/>
      <c r="U12" s="1028"/>
      <c r="V12" s="1028"/>
      <c r="W12" s="1028"/>
      <c r="X12" s="1028"/>
      <c r="Y12" s="1028"/>
      <c r="Z12" s="1029"/>
    </row>
    <row r="13" spans="1:26" ht="15.5" thickTop="1" thickBot="1" x14ac:dyDescent="0.4">
      <c r="A13" s="1032" t="s">
        <v>243</v>
      </c>
      <c r="B13" s="1033"/>
      <c r="C13" s="1033"/>
      <c r="D13" s="1033"/>
      <c r="E13" s="1033"/>
      <c r="F13" s="1033"/>
      <c r="G13" s="1033"/>
      <c r="H13" s="1033"/>
      <c r="I13" s="1033"/>
      <c r="J13" s="1033"/>
      <c r="K13" s="1033"/>
      <c r="L13" s="1033"/>
      <c r="M13" s="1033"/>
      <c r="N13" s="1033"/>
      <c r="O13" s="1034"/>
    </row>
    <row r="14" spans="1:26" ht="15" customHeight="1" thickTop="1" x14ac:dyDescent="0.35">
      <c r="A14" s="1043" t="s">
        <v>542</v>
      </c>
      <c r="B14" s="316" t="s">
        <v>490</v>
      </c>
      <c r="C14" s="509">
        <v>37</v>
      </c>
      <c r="D14" s="509">
        <v>37</v>
      </c>
      <c r="E14" s="510">
        <f>+E6-E10</f>
        <v>37</v>
      </c>
      <c r="F14" s="464"/>
      <c r="G14" s="1022" t="s">
        <v>259</v>
      </c>
      <c r="H14" s="1022"/>
      <c r="I14" s="1022"/>
      <c r="J14" s="1022"/>
      <c r="K14" s="1022"/>
      <c r="L14" s="1022"/>
      <c r="M14" s="1022"/>
      <c r="N14" s="1022"/>
      <c r="O14" s="1023"/>
      <c r="P14" s="510">
        <f>+P6-P10</f>
        <v>37</v>
      </c>
      <c r="Q14" s="464"/>
      <c r="R14" s="1022" t="s">
        <v>259</v>
      </c>
      <c r="S14" s="1022"/>
      <c r="T14" s="1022"/>
      <c r="U14" s="1022"/>
      <c r="V14" s="1022"/>
      <c r="W14" s="1022"/>
      <c r="X14" s="1022"/>
      <c r="Y14" s="1022"/>
      <c r="Z14" s="1023"/>
    </row>
    <row r="15" spans="1:26" x14ac:dyDescent="0.35">
      <c r="A15" s="1044"/>
      <c r="B15" s="302" t="s">
        <v>480</v>
      </c>
      <c r="C15" s="511">
        <v>1</v>
      </c>
      <c r="D15" s="511">
        <v>1</v>
      </c>
      <c r="E15" s="511">
        <v>1</v>
      </c>
      <c r="F15" s="465"/>
      <c r="G15" s="1024"/>
      <c r="H15" s="1024"/>
      <c r="I15" s="1024"/>
      <c r="J15" s="1024"/>
      <c r="K15" s="1024"/>
      <c r="L15" s="1024"/>
      <c r="M15" s="1024"/>
      <c r="N15" s="1024"/>
      <c r="O15" s="1025"/>
      <c r="P15" s="511">
        <v>1</v>
      </c>
      <c r="Q15" s="465"/>
      <c r="R15" s="1024"/>
      <c r="S15" s="1024"/>
      <c r="T15" s="1024"/>
      <c r="U15" s="1024"/>
      <c r="V15" s="1024"/>
      <c r="W15" s="1024"/>
      <c r="X15" s="1024"/>
      <c r="Y15" s="1024"/>
      <c r="Z15" s="1025"/>
    </row>
    <row r="16" spans="1:26" x14ac:dyDescent="0.35">
      <c r="A16" s="1044"/>
      <c r="B16" s="308" t="s">
        <v>483</v>
      </c>
      <c r="C16" s="512">
        <f>+C14*C15</f>
        <v>37</v>
      </c>
      <c r="D16" s="512">
        <f>+D14*D15</f>
        <v>37</v>
      </c>
      <c r="E16" s="512">
        <f>+E14*E15</f>
        <v>37</v>
      </c>
      <c r="F16" s="466"/>
      <c r="G16" s="309"/>
      <c r="H16" s="309"/>
      <c r="I16" s="320"/>
      <c r="J16" s="309"/>
      <c r="K16" s="320"/>
      <c r="L16" s="309"/>
      <c r="M16" s="320"/>
      <c r="N16" s="309"/>
      <c r="O16" s="311"/>
      <c r="P16" s="512">
        <f>+P14*P15</f>
        <v>37</v>
      </c>
      <c r="Q16" s="466"/>
      <c r="R16" s="309"/>
      <c r="S16" s="309"/>
      <c r="T16" s="320"/>
      <c r="U16" s="309"/>
      <c r="V16" s="320"/>
      <c r="W16" s="309"/>
      <c r="X16" s="320"/>
      <c r="Y16" s="309"/>
      <c r="Z16" s="311"/>
    </row>
    <row r="17" spans="1:26" x14ac:dyDescent="0.35">
      <c r="A17" s="1045"/>
      <c r="B17" s="305" t="s">
        <v>484</v>
      </c>
      <c r="C17" s="513"/>
      <c r="D17" s="513"/>
      <c r="E17" s="513"/>
      <c r="F17" s="467"/>
      <c r="G17" s="149"/>
      <c r="H17" s="149"/>
      <c r="I17" s="202"/>
      <c r="J17" s="149"/>
      <c r="K17" s="202"/>
      <c r="L17" s="149"/>
      <c r="M17" s="202"/>
      <c r="N17" s="149"/>
      <c r="O17" s="306"/>
      <c r="P17" s="513"/>
      <c r="Q17" s="467"/>
      <c r="R17" s="149"/>
      <c r="S17" s="149"/>
      <c r="T17" s="202"/>
      <c r="U17" s="149"/>
      <c r="V17" s="202"/>
      <c r="W17" s="149"/>
      <c r="X17" s="202"/>
      <c r="Y17" s="149"/>
      <c r="Z17" s="306"/>
    </row>
    <row r="18" spans="1:26" x14ac:dyDescent="0.35">
      <c r="A18" s="1045"/>
      <c r="B18" s="302" t="s">
        <v>481</v>
      </c>
      <c r="C18" s="511">
        <v>0</v>
      </c>
      <c r="D18" s="511">
        <v>0</v>
      </c>
      <c r="E18" s="511">
        <v>0</v>
      </c>
      <c r="F18" s="465"/>
      <c r="G18" s="303" t="s">
        <v>237</v>
      </c>
      <c r="H18" s="181"/>
      <c r="J18" s="303"/>
      <c r="K18" s="181"/>
      <c r="L18" s="303"/>
      <c r="M18" s="181"/>
      <c r="N18" s="303"/>
      <c r="O18" s="307"/>
      <c r="P18" s="511">
        <v>4</v>
      </c>
      <c r="Q18" s="465"/>
      <c r="R18" s="303" t="s">
        <v>477</v>
      </c>
      <c r="S18" s="181"/>
      <c r="U18" s="303"/>
      <c r="V18" s="181"/>
      <c r="W18" s="303"/>
      <c r="X18" s="181"/>
      <c r="Y18" s="303"/>
      <c r="Z18" s="307"/>
    </row>
    <row r="19" spans="1:26" x14ac:dyDescent="0.35">
      <c r="A19" s="1045"/>
      <c r="B19" s="308" t="s">
        <v>482</v>
      </c>
      <c r="C19" s="512">
        <f>+C8</f>
        <v>6</v>
      </c>
      <c r="D19" s="512">
        <f>+D8</f>
        <v>7</v>
      </c>
      <c r="E19" s="512">
        <f>+E8</f>
        <v>7</v>
      </c>
      <c r="F19" s="466"/>
      <c r="G19" s="309" t="s">
        <v>238</v>
      </c>
      <c r="I19" s="310"/>
      <c r="J19" s="309"/>
      <c r="K19" s="310"/>
      <c r="L19" s="309"/>
      <c r="M19" s="310"/>
      <c r="N19" s="309"/>
      <c r="O19" s="311"/>
      <c r="P19" s="512">
        <f>+P8</f>
        <v>7</v>
      </c>
      <c r="Q19" s="466"/>
      <c r="R19" s="309" t="s">
        <v>238</v>
      </c>
      <c r="T19" s="310"/>
      <c r="U19" s="309"/>
      <c r="V19" s="310"/>
      <c r="W19" s="309"/>
      <c r="X19" s="310"/>
      <c r="Y19" s="309"/>
      <c r="Z19" s="311"/>
    </row>
    <row r="20" spans="1:26" x14ac:dyDescent="0.35">
      <c r="A20" s="1045"/>
      <c r="B20" s="305" t="s">
        <v>483</v>
      </c>
      <c r="C20" s="514">
        <f>SUM(C16:C19)</f>
        <v>43</v>
      </c>
      <c r="D20" s="514">
        <f>SUM(D16:D19)</f>
        <v>44</v>
      </c>
      <c r="E20" s="514">
        <f>SUM(E16:E19)</f>
        <v>44</v>
      </c>
      <c r="F20" s="468"/>
      <c r="G20" s="149"/>
      <c r="H20" s="149"/>
      <c r="I20" s="202"/>
      <c r="J20" s="149"/>
      <c r="K20" s="202"/>
      <c r="L20" s="149"/>
      <c r="M20" s="202"/>
      <c r="N20" s="149"/>
      <c r="O20" s="306"/>
      <c r="P20" s="514">
        <f>SUM(P16:P19)</f>
        <v>48</v>
      </c>
      <c r="Q20" s="468"/>
      <c r="R20" s="149"/>
      <c r="S20" s="149"/>
      <c r="T20" s="202"/>
      <c r="U20" s="149"/>
      <c r="V20" s="202"/>
      <c r="W20" s="149"/>
      <c r="X20" s="202"/>
      <c r="Y20" s="149"/>
      <c r="Z20" s="306"/>
    </row>
    <row r="21" spans="1:26" x14ac:dyDescent="0.35">
      <c r="A21" s="1045"/>
      <c r="B21" s="302" t="s">
        <v>245</v>
      </c>
      <c r="C21" s="515">
        <f>C14</f>
        <v>37</v>
      </c>
      <c r="D21" s="515">
        <f>D14</f>
        <v>37</v>
      </c>
      <c r="E21" s="515">
        <f>E14</f>
        <v>37</v>
      </c>
      <c r="F21" s="469"/>
      <c r="G21" s="303" t="s">
        <v>244</v>
      </c>
      <c r="I21" s="181"/>
      <c r="J21" s="303"/>
      <c r="K21" s="181"/>
      <c r="L21" s="303"/>
      <c r="M21" s="181"/>
      <c r="N21" s="303"/>
      <c r="O21" s="307"/>
      <c r="P21" s="515">
        <f>P14</f>
        <v>37</v>
      </c>
      <c r="Q21" s="469"/>
      <c r="R21" s="303" t="s">
        <v>486</v>
      </c>
      <c r="T21" s="181"/>
      <c r="U21" s="303"/>
      <c r="V21" s="181"/>
      <c r="W21" s="303"/>
      <c r="X21" s="181"/>
      <c r="Y21" s="303"/>
      <c r="Z21" s="307"/>
    </row>
    <row r="22" spans="1:26" x14ac:dyDescent="0.35">
      <c r="A22" s="1045"/>
      <c r="B22" s="308" t="s">
        <v>485</v>
      </c>
      <c r="C22" s="516">
        <f>+C20+C21</f>
        <v>80</v>
      </c>
      <c r="D22" s="516">
        <f>+D20+D21</f>
        <v>81</v>
      </c>
      <c r="E22" s="516">
        <f>+E20+E21</f>
        <v>81</v>
      </c>
      <c r="F22" s="470"/>
      <c r="G22" s="309"/>
      <c r="H22" s="309"/>
      <c r="I22" s="310"/>
      <c r="J22" s="309"/>
      <c r="K22" s="310"/>
      <c r="L22" s="309"/>
      <c r="M22" s="310"/>
      <c r="N22" s="309"/>
      <c r="O22" s="311"/>
      <c r="P22" s="516">
        <f>+P20+P21</f>
        <v>85</v>
      </c>
      <c r="Q22" s="470"/>
      <c r="R22" s="309"/>
      <c r="S22" s="309"/>
      <c r="T22" s="310"/>
      <c r="U22" s="309"/>
      <c r="V22" s="310"/>
      <c r="W22" s="309"/>
      <c r="X22" s="310"/>
      <c r="Y22" s="309"/>
      <c r="Z22" s="311"/>
    </row>
    <row r="23" spans="1:26" x14ac:dyDescent="0.35">
      <c r="A23" s="1046" t="s">
        <v>241</v>
      </c>
      <c r="B23" s="149" t="s">
        <v>250</v>
      </c>
      <c r="C23" s="513">
        <v>6</v>
      </c>
      <c r="D23" s="513">
        <v>6</v>
      </c>
      <c r="E23" s="513">
        <v>6</v>
      </c>
      <c r="F23" s="467"/>
      <c r="G23" s="149"/>
      <c r="H23" s="149"/>
      <c r="I23" s="202"/>
      <c r="J23" s="149"/>
      <c r="K23" s="202"/>
      <c r="L23" s="149"/>
      <c r="M23" s="202"/>
      <c r="N23" s="149"/>
      <c r="O23" s="306"/>
      <c r="P23" s="513">
        <v>5</v>
      </c>
      <c r="Q23" s="467"/>
      <c r="R23" s="149" t="s">
        <v>478</v>
      </c>
      <c r="S23" s="149"/>
      <c r="T23" s="202"/>
      <c r="U23" s="149"/>
      <c r="V23" s="202"/>
      <c r="W23" s="149"/>
      <c r="X23" s="202"/>
      <c r="Y23" s="149"/>
      <c r="Z23" s="306"/>
    </row>
    <row r="24" spans="1:26" x14ac:dyDescent="0.35">
      <c r="A24" s="1047"/>
      <c r="B24" s="303" t="s">
        <v>487</v>
      </c>
      <c r="C24" s="511">
        <v>0</v>
      </c>
      <c r="D24" s="511">
        <v>3</v>
      </c>
      <c r="E24" s="511">
        <v>3</v>
      </c>
      <c r="F24" s="465"/>
      <c r="G24" s="303" t="s">
        <v>288</v>
      </c>
      <c r="I24" s="181"/>
      <c r="J24" s="303"/>
      <c r="K24" s="181"/>
      <c r="L24" s="303"/>
      <c r="M24" s="181"/>
      <c r="N24" s="303"/>
      <c r="O24" s="307"/>
      <c r="P24" s="511">
        <v>3</v>
      </c>
      <c r="Q24" s="465"/>
      <c r="R24" s="303"/>
      <c r="T24" s="181"/>
      <c r="U24" s="303"/>
      <c r="V24" s="181"/>
      <c r="W24" s="303"/>
      <c r="X24" s="181"/>
      <c r="Y24" s="303"/>
      <c r="Z24" s="307"/>
    </row>
    <row r="25" spans="1:26" x14ac:dyDescent="0.35">
      <c r="A25" s="1047"/>
      <c r="B25" s="303" t="s">
        <v>240</v>
      </c>
      <c r="C25" s="517">
        <v>25</v>
      </c>
      <c r="D25" s="517">
        <v>25</v>
      </c>
      <c r="E25" s="517">
        <v>25</v>
      </c>
      <c r="F25" s="471"/>
      <c r="G25" s="303"/>
      <c r="H25" s="303"/>
      <c r="I25" s="181"/>
      <c r="J25" s="303"/>
      <c r="K25" s="181"/>
      <c r="L25" s="303"/>
      <c r="M25" s="181"/>
      <c r="N25" s="303"/>
      <c r="O25" s="307"/>
      <c r="P25" s="517">
        <v>25</v>
      </c>
      <c r="Q25" s="471"/>
      <c r="R25" s="303"/>
      <c r="S25" s="303"/>
      <c r="T25" s="181"/>
      <c r="U25" s="303"/>
      <c r="V25" s="181"/>
      <c r="W25" s="303"/>
      <c r="X25" s="181"/>
      <c r="Y25" s="303"/>
      <c r="Z25" s="307"/>
    </row>
    <row r="26" spans="1:26" x14ac:dyDescent="0.35">
      <c r="A26" s="1048"/>
      <c r="B26" s="309" t="s">
        <v>488</v>
      </c>
      <c r="C26" s="518">
        <v>30</v>
      </c>
      <c r="D26" s="518">
        <v>30</v>
      </c>
      <c r="E26" s="518">
        <v>30</v>
      </c>
      <c r="F26" s="472"/>
      <c r="G26" s="309"/>
      <c r="H26" s="309"/>
      <c r="I26" s="310"/>
      <c r="J26" s="309"/>
      <c r="K26" s="310"/>
      <c r="L26" s="309"/>
      <c r="M26" s="310"/>
      <c r="N26" s="309"/>
      <c r="O26" s="311"/>
      <c r="P26" s="518">
        <v>35</v>
      </c>
      <c r="Q26" s="472"/>
      <c r="R26" s="309"/>
      <c r="S26" s="309"/>
      <c r="T26" s="310"/>
      <c r="U26" s="309"/>
      <c r="V26" s="310"/>
      <c r="W26" s="309"/>
      <c r="X26" s="310"/>
      <c r="Y26" s="309"/>
      <c r="Z26" s="311"/>
    </row>
    <row r="27" spans="1:26" x14ac:dyDescent="0.35">
      <c r="A27" s="1046" t="s">
        <v>242</v>
      </c>
      <c r="B27" s="149" t="s">
        <v>239</v>
      </c>
      <c r="C27" s="519">
        <f>+C21*C23*C25</f>
        <v>5550</v>
      </c>
      <c r="D27" s="519">
        <f>(+D21*D23*D25)+(D24*2*D25)</f>
        <v>5700</v>
      </c>
      <c r="E27" s="519">
        <f>(+E21*E23*E25)+(E24*2*E25)</f>
        <v>5700</v>
      </c>
      <c r="F27" s="473"/>
      <c r="G27" s="149"/>
      <c r="H27" s="149"/>
      <c r="I27" s="202"/>
      <c r="J27" s="149"/>
      <c r="K27" s="202"/>
      <c r="L27" s="149"/>
      <c r="M27" s="202"/>
      <c r="N27" s="149"/>
      <c r="O27" s="306"/>
      <c r="P27" s="519">
        <f>(+P21*P23*P25)+(P24*2*P25)</f>
        <v>4775</v>
      </c>
      <c r="Q27" s="473"/>
      <c r="R27" s="149"/>
      <c r="S27" s="149"/>
      <c r="T27" s="202"/>
      <c r="U27" s="149"/>
      <c r="V27" s="202"/>
      <c r="W27" s="149"/>
      <c r="X27" s="202"/>
      <c r="Y27" s="149"/>
      <c r="Z27" s="306"/>
    </row>
    <row r="28" spans="1:26" x14ac:dyDescent="0.35">
      <c r="A28" s="1047"/>
      <c r="B28" s="303" t="s">
        <v>489</v>
      </c>
      <c r="C28" s="520">
        <f>+C20*C23*C26</f>
        <v>7740</v>
      </c>
      <c r="D28" s="520">
        <f>(+D20*D23*D26)+(D24*2*D26)</f>
        <v>8100</v>
      </c>
      <c r="E28" s="520">
        <f>(+E20*E23*E26)+(E24*2*E26)</f>
        <v>8100</v>
      </c>
      <c r="F28" s="474"/>
      <c r="G28" s="303"/>
      <c r="H28" s="303"/>
      <c r="I28" s="181"/>
      <c r="J28" s="312"/>
      <c r="K28" s="181"/>
      <c r="L28" s="303"/>
      <c r="M28" s="181"/>
      <c r="N28" s="303"/>
      <c r="O28" s="307"/>
      <c r="P28" s="520">
        <f>(+P20*P23*P26)+(P24*2*P26)</f>
        <v>8610</v>
      </c>
      <c r="Q28" s="474"/>
      <c r="R28" s="303"/>
      <c r="S28" s="303"/>
      <c r="T28" s="181"/>
      <c r="U28" s="312"/>
      <c r="V28" s="181"/>
      <c r="W28" s="303"/>
      <c r="X28" s="181"/>
      <c r="Y28" s="303"/>
      <c r="Z28" s="307"/>
    </row>
    <row r="29" spans="1:26" ht="15" thickBot="1" x14ac:dyDescent="0.4">
      <c r="A29" s="1049"/>
      <c r="B29" s="497" t="s">
        <v>246</v>
      </c>
      <c r="C29" s="521">
        <f>+C27+C28</f>
        <v>13290</v>
      </c>
      <c r="D29" s="521">
        <f>+D27+D28</f>
        <v>13800</v>
      </c>
      <c r="E29" s="522">
        <f>+E27+E28</f>
        <v>13800</v>
      </c>
      <c r="F29" s="486"/>
      <c r="G29" s="447"/>
      <c r="H29" s="447"/>
      <c r="I29" s="447"/>
      <c r="J29" s="447"/>
      <c r="K29" s="447"/>
      <c r="L29" s="447"/>
      <c r="M29" s="447"/>
      <c r="N29" s="447"/>
      <c r="O29" s="487"/>
      <c r="P29" s="522">
        <f>+P27+P28</f>
        <v>13385</v>
      </c>
      <c r="Q29" s="486"/>
      <c r="R29" s="447"/>
      <c r="S29" s="447"/>
      <c r="T29" s="447"/>
      <c r="U29" s="447"/>
      <c r="V29" s="447"/>
      <c r="W29" s="447"/>
      <c r="X29" s="447"/>
      <c r="Y29" s="447"/>
      <c r="Z29" s="487"/>
    </row>
    <row r="30" spans="1:26" ht="15.5" thickTop="1" thickBot="1" x14ac:dyDescent="0.4">
      <c r="A30" s="1032" t="s">
        <v>507</v>
      </c>
      <c r="B30" s="1033"/>
      <c r="C30" s="1033"/>
      <c r="D30" s="1033"/>
      <c r="E30" s="1033"/>
      <c r="F30" s="1033"/>
      <c r="G30" s="1033"/>
      <c r="H30" s="1033"/>
      <c r="I30" s="1033"/>
      <c r="J30" s="1033"/>
      <c r="K30" s="1033"/>
      <c r="L30" s="1033"/>
      <c r="M30" s="1033"/>
      <c r="N30" s="1033"/>
      <c r="O30" s="1034"/>
    </row>
    <row r="31" spans="1:26" ht="15" customHeight="1" thickTop="1" x14ac:dyDescent="0.35">
      <c r="A31" s="1050" t="s">
        <v>542</v>
      </c>
      <c r="B31" s="317" t="s">
        <v>490</v>
      </c>
      <c r="C31" s="523">
        <v>52</v>
      </c>
      <c r="D31" s="523">
        <v>52</v>
      </c>
      <c r="E31" s="523">
        <f>+E6</f>
        <v>52</v>
      </c>
      <c r="F31" s="475"/>
      <c r="G31" s="317"/>
      <c r="H31" s="317"/>
      <c r="I31" s="318"/>
      <c r="J31" s="317"/>
      <c r="K31" s="318"/>
      <c r="L31" s="317"/>
      <c r="M31" s="318"/>
      <c r="N31" s="317"/>
      <c r="O31" s="319"/>
      <c r="P31" s="523">
        <f>+P6</f>
        <v>52</v>
      </c>
      <c r="Q31" s="475"/>
      <c r="R31" s="317"/>
      <c r="S31" s="317"/>
      <c r="T31" s="318"/>
      <c r="U31" s="317"/>
      <c r="V31" s="318"/>
      <c r="W31" s="317"/>
      <c r="X31" s="318"/>
      <c r="Y31" s="317"/>
      <c r="Z31" s="319"/>
    </row>
    <row r="32" spans="1:26" x14ac:dyDescent="0.35">
      <c r="A32" s="1051"/>
      <c r="B32" s="303" t="s">
        <v>480</v>
      </c>
      <c r="C32" s="524">
        <v>2</v>
      </c>
      <c r="D32" s="524">
        <v>2</v>
      </c>
      <c r="E32" s="524">
        <v>2</v>
      </c>
      <c r="F32" s="476"/>
      <c r="G32" s="303"/>
      <c r="H32" s="303"/>
      <c r="I32" s="181"/>
      <c r="J32" s="303"/>
      <c r="K32" s="181"/>
      <c r="L32" s="303"/>
      <c r="M32" s="181"/>
      <c r="N32" s="303"/>
      <c r="O32" s="307"/>
      <c r="P32" s="524">
        <v>2</v>
      </c>
      <c r="Q32" s="476"/>
      <c r="R32" s="303"/>
      <c r="S32" s="303"/>
      <c r="T32" s="181"/>
      <c r="U32" s="303"/>
      <c r="V32" s="181"/>
      <c r="W32" s="303"/>
      <c r="X32" s="181"/>
      <c r="Y32" s="303"/>
      <c r="Z32" s="307"/>
    </row>
    <row r="33" spans="1:26" x14ac:dyDescent="0.35">
      <c r="A33" s="1051"/>
      <c r="B33" s="309" t="s">
        <v>536</v>
      </c>
      <c r="C33" s="525">
        <f>+C31*C32</f>
        <v>104</v>
      </c>
      <c r="D33" s="525">
        <f>+D31*D32</f>
        <v>104</v>
      </c>
      <c r="E33" s="525">
        <f>+E31*E32</f>
        <v>104</v>
      </c>
      <c r="F33" s="477"/>
      <c r="G33" s="309"/>
      <c r="H33" s="309"/>
      <c r="I33" s="310"/>
      <c r="J33" s="309"/>
      <c r="K33" s="310"/>
      <c r="L33" s="309"/>
      <c r="M33" s="310"/>
      <c r="N33" s="309"/>
      <c r="O33" s="311"/>
      <c r="P33" s="525">
        <f>+P31*P32</f>
        <v>104</v>
      </c>
      <c r="Q33" s="477"/>
      <c r="R33" s="309"/>
      <c r="S33" s="309"/>
      <c r="T33" s="310"/>
      <c r="U33" s="309"/>
      <c r="V33" s="310"/>
      <c r="W33" s="309"/>
      <c r="X33" s="310"/>
      <c r="Y33" s="309"/>
      <c r="Z33" s="311"/>
    </row>
    <row r="34" spans="1:26" x14ac:dyDescent="0.35">
      <c r="A34" s="1051"/>
      <c r="B34" s="149" t="s">
        <v>537</v>
      </c>
      <c r="C34" s="526"/>
      <c r="D34" s="526"/>
      <c r="E34" s="526"/>
      <c r="F34" s="478"/>
      <c r="G34" s="149"/>
      <c r="H34" s="149"/>
      <c r="I34" s="202"/>
      <c r="J34" s="149"/>
      <c r="K34" s="202"/>
      <c r="L34" s="149"/>
      <c r="M34" s="202"/>
      <c r="N34" s="149"/>
      <c r="O34" s="306"/>
      <c r="P34" s="526"/>
      <c r="Q34" s="478"/>
      <c r="R34" s="149"/>
      <c r="S34" s="149"/>
      <c r="T34" s="202"/>
      <c r="U34" s="149"/>
      <c r="V34" s="202"/>
      <c r="W34" s="149"/>
      <c r="X34" s="202"/>
      <c r="Y34" s="149"/>
      <c r="Z34" s="306"/>
    </row>
    <row r="35" spans="1:26" x14ac:dyDescent="0.35">
      <c r="A35" s="1051"/>
      <c r="B35" s="303" t="s">
        <v>247</v>
      </c>
      <c r="C35" s="527">
        <f t="shared" ref="C35:E36" si="0">+C7</f>
        <v>4</v>
      </c>
      <c r="D35" s="527">
        <f t="shared" si="0"/>
        <v>4</v>
      </c>
      <c r="E35" s="527">
        <f t="shared" si="0"/>
        <v>4</v>
      </c>
      <c r="F35" s="479"/>
      <c r="G35" s="303"/>
      <c r="H35" s="303"/>
      <c r="I35" s="181"/>
      <c r="J35" s="303"/>
      <c r="K35" s="181"/>
      <c r="L35" s="303"/>
      <c r="M35" s="181"/>
      <c r="N35" s="303"/>
      <c r="O35" s="307"/>
      <c r="P35" s="527">
        <f t="shared" ref="P35" si="1">+P7</f>
        <v>4</v>
      </c>
      <c r="Q35" s="479"/>
      <c r="R35" s="303"/>
      <c r="S35" s="303"/>
      <c r="T35" s="181"/>
      <c r="U35" s="303"/>
      <c r="V35" s="181"/>
      <c r="W35" s="303"/>
      <c r="X35" s="181"/>
      <c r="Y35" s="303"/>
      <c r="Z35" s="307"/>
    </row>
    <row r="36" spans="1:26" x14ac:dyDescent="0.35">
      <c r="A36" s="1051"/>
      <c r="B36" s="303" t="s">
        <v>248</v>
      </c>
      <c r="C36" s="527">
        <f t="shared" si="0"/>
        <v>6</v>
      </c>
      <c r="D36" s="527">
        <f t="shared" si="0"/>
        <v>7</v>
      </c>
      <c r="E36" s="527">
        <f t="shared" si="0"/>
        <v>7</v>
      </c>
      <c r="F36" s="479"/>
      <c r="G36" s="303"/>
      <c r="H36" s="303"/>
      <c r="I36" s="181"/>
      <c r="J36" s="303"/>
      <c r="K36" s="181"/>
      <c r="L36" s="303"/>
      <c r="M36" s="181"/>
      <c r="N36" s="303"/>
      <c r="O36" s="307"/>
      <c r="P36" s="527">
        <f t="shared" ref="P36" si="2">+P8</f>
        <v>7</v>
      </c>
      <c r="Q36" s="479"/>
      <c r="R36" s="303"/>
      <c r="S36" s="303"/>
      <c r="T36" s="181"/>
      <c r="U36" s="303"/>
      <c r="V36" s="181"/>
      <c r="W36" s="303"/>
      <c r="X36" s="181"/>
      <c r="Y36" s="303"/>
      <c r="Z36" s="307"/>
    </row>
    <row r="37" spans="1:26" x14ac:dyDescent="0.35">
      <c r="A37" s="1051"/>
      <c r="B37" s="181" t="s">
        <v>249</v>
      </c>
      <c r="C37" s="528">
        <v>20</v>
      </c>
      <c r="D37" s="528">
        <v>20</v>
      </c>
      <c r="E37" s="528">
        <v>20</v>
      </c>
      <c r="F37" s="480"/>
      <c r="G37" s="181" t="s">
        <v>260</v>
      </c>
      <c r="I37" s="181"/>
      <c r="J37" s="181"/>
      <c r="K37" s="181"/>
      <c r="L37" s="181"/>
      <c r="M37" s="181"/>
      <c r="N37" s="181"/>
      <c r="O37" s="322"/>
      <c r="P37" s="528">
        <v>0</v>
      </c>
      <c r="Q37" s="480"/>
      <c r="R37" s="181" t="s">
        <v>491</v>
      </c>
      <c r="T37" s="181"/>
      <c r="U37" s="181"/>
      <c r="V37" s="181"/>
      <c r="W37" s="181"/>
      <c r="X37" s="181"/>
      <c r="Y37" s="181"/>
      <c r="Z37" s="322"/>
    </row>
    <row r="38" spans="1:26" x14ac:dyDescent="0.35">
      <c r="A38" s="1052"/>
      <c r="B38" s="310" t="s">
        <v>538</v>
      </c>
      <c r="C38" s="529">
        <f>SUM(C33:C37)</f>
        <v>134</v>
      </c>
      <c r="D38" s="529">
        <f>SUM(D33:D37)</f>
        <v>135</v>
      </c>
      <c r="E38" s="529">
        <f>SUM(E33:E37)</f>
        <v>135</v>
      </c>
      <c r="F38" s="310"/>
      <c r="G38" s="310"/>
      <c r="H38" s="310"/>
      <c r="I38" s="310"/>
      <c r="J38" s="310"/>
      <c r="K38" s="310"/>
      <c r="L38" s="310"/>
      <c r="M38" s="310"/>
      <c r="N38" s="310"/>
      <c r="O38" s="321"/>
      <c r="P38" s="529">
        <f>SUM(P33:P37)</f>
        <v>115</v>
      </c>
      <c r="Q38" s="310"/>
      <c r="R38" s="310"/>
      <c r="S38" s="310"/>
      <c r="T38" s="310"/>
      <c r="U38" s="310"/>
      <c r="V38" s="310"/>
      <c r="W38" s="310"/>
      <c r="X38" s="310"/>
      <c r="Y38" s="310"/>
      <c r="Z38" s="321"/>
    </row>
    <row r="39" spans="1:26" x14ac:dyDescent="0.35">
      <c r="A39" s="1042" t="s">
        <v>251</v>
      </c>
      <c r="B39" s="149" t="s">
        <v>540</v>
      </c>
      <c r="C39" s="530">
        <v>1</v>
      </c>
      <c r="D39" s="530">
        <v>1</v>
      </c>
      <c r="E39" s="530">
        <v>1</v>
      </c>
      <c r="F39" s="159"/>
      <c r="G39" s="149"/>
      <c r="H39" s="149"/>
      <c r="I39" s="202"/>
      <c r="J39" s="149"/>
      <c r="K39" s="202"/>
      <c r="L39" s="149"/>
      <c r="M39" s="202"/>
      <c r="N39" s="149"/>
      <c r="O39" s="306"/>
      <c r="P39" s="530">
        <v>2</v>
      </c>
      <c r="Q39" s="159"/>
      <c r="R39" s="149" t="s">
        <v>539</v>
      </c>
      <c r="S39" s="149"/>
      <c r="T39" s="202"/>
      <c r="U39" s="149"/>
      <c r="V39" s="202"/>
      <c r="W39" s="149"/>
      <c r="X39" s="202"/>
      <c r="Y39" s="149"/>
      <c r="Z39" s="306"/>
    </row>
    <row r="40" spans="1:26" x14ac:dyDescent="0.35">
      <c r="A40" s="1041"/>
      <c r="B40" s="309" t="s">
        <v>492</v>
      </c>
      <c r="C40" s="531">
        <v>25</v>
      </c>
      <c r="D40" s="531">
        <v>25</v>
      </c>
      <c r="E40" s="531">
        <v>25</v>
      </c>
      <c r="F40" s="481"/>
      <c r="G40" s="309"/>
      <c r="H40" s="309"/>
      <c r="I40" s="310"/>
      <c r="J40" s="309"/>
      <c r="K40" s="310"/>
      <c r="L40" s="309"/>
      <c r="M40" s="310"/>
      <c r="N40" s="309"/>
      <c r="O40" s="311"/>
      <c r="P40" s="531">
        <v>25</v>
      </c>
      <c r="Q40" s="481"/>
      <c r="R40" s="309"/>
      <c r="S40" s="309"/>
      <c r="T40" s="310"/>
      <c r="U40" s="309"/>
      <c r="V40" s="310"/>
      <c r="W40" s="309"/>
      <c r="X40" s="310"/>
      <c r="Y40" s="309"/>
      <c r="Z40" s="311"/>
    </row>
    <row r="41" spans="1:26" ht="29" customHeight="1" thickBot="1" x14ac:dyDescent="0.4">
      <c r="A41" s="323" t="s">
        <v>242</v>
      </c>
      <c r="B41" s="498" t="s">
        <v>541</v>
      </c>
      <c r="C41" s="532">
        <f>+C38*C39*C40</f>
        <v>3350</v>
      </c>
      <c r="D41" s="532">
        <f>+D38*D39*D40</f>
        <v>3375</v>
      </c>
      <c r="E41" s="533">
        <f>+E38*E39*E40</f>
        <v>3375</v>
      </c>
      <c r="F41" s="489"/>
      <c r="G41" s="488"/>
      <c r="H41" s="1030"/>
      <c r="I41" s="1030"/>
      <c r="J41" s="1030"/>
      <c r="K41" s="1030"/>
      <c r="L41" s="1030"/>
      <c r="M41" s="1030"/>
      <c r="N41" s="1030"/>
      <c r="O41" s="1031"/>
      <c r="P41" s="533">
        <f>+P38*P39*P40</f>
        <v>5750</v>
      </c>
      <c r="Q41" s="489"/>
      <c r="R41" s="488"/>
      <c r="S41" s="1030"/>
      <c r="T41" s="1030"/>
      <c r="U41" s="1030"/>
      <c r="V41" s="1030"/>
      <c r="W41" s="1030"/>
      <c r="X41" s="1030"/>
      <c r="Y41" s="1030"/>
      <c r="Z41" s="1031"/>
    </row>
    <row r="42" spans="1:26" ht="15.5" thickTop="1" thickBot="1" x14ac:dyDescent="0.4">
      <c r="A42" s="1032" t="s">
        <v>262</v>
      </c>
      <c r="B42" s="1033"/>
      <c r="C42" s="1033"/>
      <c r="D42" s="1033"/>
      <c r="E42" s="1033"/>
      <c r="F42" s="1033"/>
      <c r="G42" s="1033"/>
      <c r="H42" s="1033"/>
      <c r="I42" s="1033"/>
      <c r="J42" s="1033"/>
      <c r="K42" s="1033"/>
      <c r="L42" s="1033"/>
      <c r="M42" s="1033"/>
      <c r="N42" s="1033"/>
      <c r="O42" s="1034"/>
    </row>
    <row r="43" spans="1:26" ht="15" customHeight="1" thickTop="1" x14ac:dyDescent="0.35">
      <c r="A43" s="1039" t="s">
        <v>542</v>
      </c>
      <c r="B43" s="317" t="s">
        <v>479</v>
      </c>
      <c r="C43" s="523">
        <f>+C10</f>
        <v>15</v>
      </c>
      <c r="D43" s="523">
        <f>+D10</f>
        <v>15</v>
      </c>
      <c r="E43" s="523">
        <f>+E10</f>
        <v>15</v>
      </c>
      <c r="F43" s="475"/>
      <c r="G43" s="1022" t="str">
        <f>+G10</f>
        <v>Memorial Day (May 25) - Labor Day (Sept 7)</v>
      </c>
      <c r="H43" s="1022"/>
      <c r="I43" s="1022"/>
      <c r="J43" s="1022"/>
      <c r="K43" s="1022"/>
      <c r="L43" s="1022"/>
      <c r="M43" s="1022"/>
      <c r="N43" s="1022"/>
      <c r="O43" s="1023"/>
      <c r="P43" s="523">
        <f>+P10</f>
        <v>15</v>
      </c>
      <c r="Q43" s="475"/>
      <c r="R43" s="1022" t="str">
        <f>+R10</f>
        <v>Memorial Day (May 30) - Labor Day (Sept 5)</v>
      </c>
      <c r="S43" s="1022"/>
      <c r="T43" s="1022"/>
      <c r="U43" s="1022"/>
      <c r="V43" s="1022"/>
      <c r="W43" s="1022"/>
      <c r="X43" s="1022"/>
      <c r="Y43" s="1022"/>
      <c r="Z43" s="1023"/>
    </row>
    <row r="44" spans="1:26" x14ac:dyDescent="0.35">
      <c r="A44" s="1040"/>
      <c r="B44" s="303" t="s">
        <v>480</v>
      </c>
      <c r="C44" s="524">
        <v>1</v>
      </c>
      <c r="D44" s="524">
        <v>1</v>
      </c>
      <c r="E44" s="524">
        <v>1</v>
      </c>
      <c r="F44" s="476"/>
      <c r="G44" s="1024"/>
      <c r="H44" s="1024"/>
      <c r="I44" s="1024"/>
      <c r="J44" s="1024"/>
      <c r="K44" s="1024"/>
      <c r="L44" s="1024"/>
      <c r="M44" s="1024"/>
      <c r="N44" s="1024"/>
      <c r="O44" s="1025"/>
      <c r="P44" s="524">
        <v>1</v>
      </c>
      <c r="Q44" s="476"/>
      <c r="R44" s="1024"/>
      <c r="S44" s="1024"/>
      <c r="T44" s="1024"/>
      <c r="U44" s="1024"/>
      <c r="V44" s="1024"/>
      <c r="W44" s="1024"/>
      <c r="X44" s="1024"/>
      <c r="Y44" s="1024"/>
      <c r="Z44" s="1025"/>
    </row>
    <row r="45" spans="1:26" x14ac:dyDescent="0.35">
      <c r="A45" s="1041"/>
      <c r="B45" s="309" t="s">
        <v>493</v>
      </c>
      <c r="C45" s="525">
        <f>+C43*C44</f>
        <v>15</v>
      </c>
      <c r="D45" s="525">
        <f>+D43*D44</f>
        <v>15</v>
      </c>
      <c r="E45" s="525">
        <f>+E43*E44</f>
        <v>15</v>
      </c>
      <c r="F45" s="477"/>
      <c r="G45" s="309"/>
      <c r="H45" s="309"/>
      <c r="I45" s="310"/>
      <c r="J45" s="309"/>
      <c r="K45" s="310"/>
      <c r="L45" s="309"/>
      <c r="M45" s="310"/>
      <c r="N45" s="309"/>
      <c r="O45" s="311"/>
      <c r="P45" s="525">
        <f>+P43*P44</f>
        <v>15</v>
      </c>
      <c r="Q45" s="477"/>
      <c r="R45" s="309"/>
      <c r="S45" s="309"/>
      <c r="T45" s="310"/>
      <c r="U45" s="309"/>
      <c r="V45" s="310"/>
      <c r="W45" s="309"/>
      <c r="X45" s="310"/>
      <c r="Y45" s="309"/>
      <c r="Z45" s="311"/>
    </row>
    <row r="46" spans="1:26" x14ac:dyDescent="0.35">
      <c r="A46" s="1042" t="s">
        <v>251</v>
      </c>
      <c r="B46" s="149" t="s">
        <v>494</v>
      </c>
      <c r="C46" s="530">
        <v>3</v>
      </c>
      <c r="D46" s="530">
        <v>3</v>
      </c>
      <c r="E46" s="530">
        <v>3</v>
      </c>
      <c r="F46" s="159"/>
      <c r="G46" s="149" t="s">
        <v>252</v>
      </c>
      <c r="I46" s="202"/>
      <c r="J46" s="149"/>
      <c r="K46" s="202"/>
      <c r="L46" s="149"/>
      <c r="M46" s="202"/>
      <c r="N46" s="149"/>
      <c r="O46" s="306"/>
      <c r="P46" s="530">
        <v>3</v>
      </c>
      <c r="Q46" s="159"/>
      <c r="R46" s="149" t="s">
        <v>252</v>
      </c>
      <c r="T46" s="202"/>
      <c r="U46" s="149"/>
      <c r="V46" s="202"/>
      <c r="W46" s="149"/>
      <c r="X46" s="202"/>
      <c r="Y46" s="149"/>
      <c r="Z46" s="306"/>
    </row>
    <row r="47" spans="1:26" x14ac:dyDescent="0.35">
      <c r="A47" s="1041"/>
      <c r="B47" s="309" t="s">
        <v>495</v>
      </c>
      <c r="C47" s="531">
        <v>50</v>
      </c>
      <c r="D47" s="531">
        <v>50</v>
      </c>
      <c r="E47" s="531">
        <v>50</v>
      </c>
      <c r="F47" s="481"/>
      <c r="G47" s="309"/>
      <c r="H47" s="309"/>
      <c r="I47" s="310"/>
      <c r="J47" s="309"/>
      <c r="K47" s="310"/>
      <c r="L47" s="309"/>
      <c r="M47" s="310"/>
      <c r="N47" s="309"/>
      <c r="O47" s="311"/>
      <c r="P47" s="531">
        <v>50</v>
      </c>
      <c r="Q47" s="481"/>
      <c r="R47" s="309"/>
      <c r="S47" s="309"/>
      <c r="T47" s="310"/>
      <c r="U47" s="309"/>
      <c r="V47" s="310"/>
      <c r="W47" s="309"/>
      <c r="X47" s="310"/>
      <c r="Y47" s="309"/>
      <c r="Z47" s="311"/>
    </row>
    <row r="48" spans="1:26" ht="15" thickBot="1" x14ac:dyDescent="0.4">
      <c r="A48" s="337" t="s">
        <v>242</v>
      </c>
      <c r="B48" s="335" t="s">
        <v>254</v>
      </c>
      <c r="C48" s="534">
        <f>+C45*C46*C47</f>
        <v>2250</v>
      </c>
      <c r="D48" s="534">
        <f>+D45*D46*D47</f>
        <v>2250</v>
      </c>
      <c r="E48" s="534">
        <f>+E45*E46*E47</f>
        <v>2250</v>
      </c>
      <c r="F48" s="482"/>
      <c r="G48" s="202"/>
      <c r="H48" s="202"/>
      <c r="I48" s="202"/>
      <c r="J48" s="202"/>
      <c r="K48" s="202"/>
      <c r="L48" s="202"/>
      <c r="M48" s="202"/>
      <c r="N48" s="202"/>
      <c r="O48" s="336"/>
      <c r="P48" s="534">
        <f>+P45*P46*P47</f>
        <v>2250</v>
      </c>
      <c r="Q48" s="482"/>
      <c r="R48" s="202"/>
      <c r="S48" s="202"/>
      <c r="T48" s="202"/>
      <c r="U48" s="202"/>
      <c r="V48" s="202"/>
      <c r="W48" s="202"/>
      <c r="X48" s="202"/>
      <c r="Y48" s="202"/>
      <c r="Z48" s="336"/>
    </row>
    <row r="49" spans="1:26" ht="15" customHeight="1" x14ac:dyDescent="0.35">
      <c r="A49" s="1053" t="s">
        <v>251</v>
      </c>
      <c r="B49" s="338" t="s">
        <v>256</v>
      </c>
      <c r="C49" s="535">
        <v>2</v>
      </c>
      <c r="D49" s="535">
        <v>2</v>
      </c>
      <c r="E49" s="535">
        <v>2</v>
      </c>
      <c r="F49" s="483"/>
      <c r="G49" s="338" t="s">
        <v>252</v>
      </c>
      <c r="H49" s="338"/>
      <c r="I49" s="339"/>
      <c r="J49" s="338"/>
      <c r="K49" s="339"/>
      <c r="L49" s="338"/>
      <c r="M49" s="339"/>
      <c r="N49" s="338"/>
      <c r="O49" s="340"/>
      <c r="P49" s="535">
        <v>2</v>
      </c>
      <c r="Q49" s="483"/>
      <c r="R49" s="338" t="s">
        <v>252</v>
      </c>
      <c r="S49" s="338"/>
      <c r="T49" s="339"/>
      <c r="U49" s="338"/>
      <c r="V49" s="339"/>
      <c r="W49" s="338"/>
      <c r="X49" s="339"/>
      <c r="Y49" s="338"/>
      <c r="Z49" s="340"/>
    </row>
    <row r="50" spans="1:26" ht="15" customHeight="1" x14ac:dyDescent="0.35">
      <c r="A50" s="1041"/>
      <c r="B50" s="309" t="s">
        <v>255</v>
      </c>
      <c r="C50" s="531">
        <v>25</v>
      </c>
      <c r="D50" s="531">
        <v>25</v>
      </c>
      <c r="E50" s="531">
        <v>25</v>
      </c>
      <c r="F50" s="481"/>
      <c r="G50" s="309"/>
      <c r="H50" s="309"/>
      <c r="I50" s="310"/>
      <c r="J50" s="309"/>
      <c r="K50" s="310"/>
      <c r="L50" s="309"/>
      <c r="M50" s="310"/>
      <c r="N50" s="309"/>
      <c r="O50" s="311"/>
      <c r="P50" s="531">
        <v>25</v>
      </c>
      <c r="Q50" s="481"/>
      <c r="R50" s="309"/>
      <c r="S50" s="309"/>
      <c r="T50" s="310"/>
      <c r="U50" s="309"/>
      <c r="V50" s="310"/>
      <c r="W50" s="309"/>
      <c r="X50" s="310"/>
      <c r="Y50" s="309"/>
      <c r="Z50" s="311"/>
    </row>
    <row r="51" spans="1:26" ht="15" thickBot="1" x14ac:dyDescent="0.4">
      <c r="A51" s="341" t="s">
        <v>242</v>
      </c>
      <c r="B51" s="342" t="s">
        <v>257</v>
      </c>
      <c r="C51" s="536">
        <f>+C43*C49*C50</f>
        <v>750</v>
      </c>
      <c r="D51" s="536">
        <f>+D43*D49*D50</f>
        <v>750</v>
      </c>
      <c r="E51" s="536">
        <f>+E43*E49*E50</f>
        <v>750</v>
      </c>
      <c r="F51" s="484"/>
      <c r="G51" s="343"/>
      <c r="H51" s="343"/>
      <c r="I51" s="343"/>
      <c r="J51" s="343"/>
      <c r="K51" s="343"/>
      <c r="L51" s="343"/>
      <c r="M51" s="343"/>
      <c r="N51" s="343"/>
      <c r="O51" s="344"/>
      <c r="P51" s="536">
        <f>+P43*P49*P50</f>
        <v>750</v>
      </c>
      <c r="Q51" s="484"/>
      <c r="R51" s="343"/>
      <c r="S51" s="343"/>
      <c r="T51" s="343"/>
      <c r="U51" s="343"/>
      <c r="V51" s="343"/>
      <c r="W51" s="343"/>
      <c r="X51" s="343"/>
      <c r="Y51" s="343"/>
      <c r="Z51" s="344"/>
    </row>
    <row r="52" spans="1:26" ht="15" thickBot="1" x14ac:dyDescent="0.4">
      <c r="A52" s="323" t="s">
        <v>242</v>
      </c>
      <c r="B52" s="315" t="s">
        <v>258</v>
      </c>
      <c r="C52" s="537">
        <f>+C48+C51</f>
        <v>3000</v>
      </c>
      <c r="D52" s="537">
        <f>+D48+D51</f>
        <v>3000</v>
      </c>
      <c r="E52" s="538">
        <f>+E48+E51</f>
        <v>3000</v>
      </c>
      <c r="F52" s="490"/>
      <c r="G52" s="447"/>
      <c r="H52" s="447"/>
      <c r="I52" s="447"/>
      <c r="J52" s="447"/>
      <c r="K52" s="447"/>
      <c r="L52" s="447"/>
      <c r="M52" s="447"/>
      <c r="N52" s="447"/>
      <c r="O52" s="487"/>
      <c r="P52" s="538">
        <f>+P48+P51</f>
        <v>3000</v>
      </c>
      <c r="Q52" s="490"/>
      <c r="R52" s="447"/>
      <c r="S52" s="447"/>
      <c r="T52" s="447"/>
      <c r="U52" s="447"/>
      <c r="V52" s="447"/>
      <c r="W52" s="447"/>
      <c r="X52" s="447"/>
      <c r="Y52" s="447"/>
      <c r="Z52" s="487"/>
    </row>
    <row r="53" spans="1:26" ht="15.5" thickTop="1" thickBot="1" x14ac:dyDescent="0.4">
      <c r="A53" s="1032" t="s">
        <v>219</v>
      </c>
      <c r="B53" s="1033"/>
      <c r="C53" s="1033"/>
      <c r="D53" s="1033"/>
      <c r="E53" s="1033"/>
      <c r="F53" s="1033"/>
      <c r="G53" s="1033"/>
      <c r="H53" s="1033"/>
      <c r="I53" s="1033"/>
      <c r="J53" s="1033"/>
      <c r="K53" s="1033"/>
      <c r="L53" s="1033"/>
      <c r="M53" s="1033"/>
      <c r="N53" s="1033"/>
      <c r="O53" s="1034"/>
    </row>
    <row r="54" spans="1:26" ht="15" customHeight="1" thickTop="1" x14ac:dyDescent="0.35">
      <c r="A54" s="1039" t="s">
        <v>542</v>
      </c>
      <c r="B54" s="317" t="s">
        <v>479</v>
      </c>
      <c r="C54" s="523">
        <f>+C14</f>
        <v>37</v>
      </c>
      <c r="D54" s="523">
        <f>+D14</f>
        <v>37</v>
      </c>
      <c r="E54" s="523">
        <f>+E14</f>
        <v>37</v>
      </c>
      <c r="F54" s="475"/>
      <c r="G54" s="317"/>
      <c r="H54" s="317" t="s">
        <v>253</v>
      </c>
      <c r="I54" s="318"/>
      <c r="J54" s="317"/>
      <c r="K54" s="318"/>
      <c r="L54" s="317"/>
      <c r="M54" s="318"/>
      <c r="N54" s="317"/>
      <c r="O54" s="319"/>
      <c r="P54" s="523">
        <f>+P14</f>
        <v>37</v>
      </c>
      <c r="Q54" s="475"/>
      <c r="R54" s="317"/>
      <c r="S54" s="317" t="s">
        <v>253</v>
      </c>
      <c r="T54" s="318"/>
      <c r="U54" s="317"/>
      <c r="V54" s="318"/>
      <c r="W54" s="317"/>
      <c r="X54" s="318"/>
      <c r="Y54" s="317"/>
      <c r="Z54" s="319"/>
    </row>
    <row r="55" spans="1:26" x14ac:dyDescent="0.35">
      <c r="A55" s="1040"/>
      <c r="B55" s="303" t="s">
        <v>480</v>
      </c>
      <c r="C55" s="524">
        <v>1</v>
      </c>
      <c r="D55" s="524">
        <v>1</v>
      </c>
      <c r="E55" s="524">
        <v>1</v>
      </c>
      <c r="F55" s="476"/>
      <c r="G55" s="303"/>
      <c r="H55" s="303"/>
      <c r="I55" s="181"/>
      <c r="J55" s="303"/>
      <c r="K55" s="181"/>
      <c r="L55" s="303"/>
      <c r="M55" s="181"/>
      <c r="N55" s="303"/>
      <c r="O55" s="307"/>
      <c r="P55" s="524">
        <v>1</v>
      </c>
      <c r="Q55" s="476"/>
      <c r="R55" s="303"/>
      <c r="S55" s="303"/>
      <c r="T55" s="181"/>
      <c r="U55" s="303"/>
      <c r="V55" s="181"/>
      <c r="W55" s="303"/>
      <c r="X55" s="181"/>
      <c r="Y55" s="303"/>
      <c r="Z55" s="307"/>
    </row>
    <row r="56" spans="1:26" x14ac:dyDescent="0.35">
      <c r="A56" s="1041"/>
      <c r="B56" s="309" t="s">
        <v>493</v>
      </c>
      <c r="C56" s="525">
        <f>+C54*C55</f>
        <v>37</v>
      </c>
      <c r="D56" s="525">
        <f>+D54*D55</f>
        <v>37</v>
      </c>
      <c r="E56" s="525">
        <f>+E54*E55</f>
        <v>37</v>
      </c>
      <c r="F56" s="477"/>
      <c r="G56" s="309"/>
      <c r="H56" s="309"/>
      <c r="I56" s="310"/>
      <c r="J56" s="309"/>
      <c r="K56" s="310"/>
      <c r="L56" s="309"/>
      <c r="M56" s="310"/>
      <c r="N56" s="309"/>
      <c r="O56" s="311"/>
      <c r="P56" s="525">
        <f>+P54*P55</f>
        <v>37</v>
      </c>
      <c r="Q56" s="477"/>
      <c r="R56" s="309"/>
      <c r="S56" s="309"/>
      <c r="T56" s="310"/>
      <c r="U56" s="309"/>
      <c r="V56" s="310"/>
      <c r="W56" s="309"/>
      <c r="X56" s="310"/>
      <c r="Y56" s="309"/>
      <c r="Z56" s="311"/>
    </row>
    <row r="57" spans="1:26" x14ac:dyDescent="0.35">
      <c r="A57" s="1042" t="s">
        <v>251</v>
      </c>
      <c r="B57" s="149" t="s">
        <v>496</v>
      </c>
      <c r="C57" s="530">
        <v>1</v>
      </c>
      <c r="D57" s="530">
        <v>1</v>
      </c>
      <c r="E57" s="530">
        <v>1</v>
      </c>
      <c r="F57" s="159"/>
      <c r="G57" s="149"/>
      <c r="H57" s="149"/>
      <c r="I57" s="202"/>
      <c r="J57" s="149"/>
      <c r="K57" s="202"/>
      <c r="L57" s="149"/>
      <c r="M57" s="202"/>
      <c r="N57" s="149"/>
      <c r="O57" s="306"/>
      <c r="P57" s="530">
        <v>1</v>
      </c>
      <c r="Q57" s="159"/>
      <c r="R57" s="149"/>
      <c r="S57" s="149"/>
      <c r="T57" s="202"/>
      <c r="U57" s="149"/>
      <c r="V57" s="202"/>
      <c r="W57" s="149"/>
      <c r="X57" s="202"/>
      <c r="Y57" s="149"/>
      <c r="Z57" s="306"/>
    </row>
    <row r="58" spans="1:26" x14ac:dyDescent="0.35">
      <c r="A58" s="1041"/>
      <c r="B58" s="309" t="s">
        <v>495</v>
      </c>
      <c r="C58" s="531">
        <v>25</v>
      </c>
      <c r="D58" s="531">
        <v>25</v>
      </c>
      <c r="E58" s="531">
        <v>25</v>
      </c>
      <c r="F58" s="481"/>
      <c r="G58" s="309"/>
      <c r="H58" s="309"/>
      <c r="I58" s="310"/>
      <c r="J58" s="309"/>
      <c r="K58" s="310"/>
      <c r="L58" s="309"/>
      <c r="M58" s="310"/>
      <c r="N58" s="309"/>
      <c r="O58" s="311"/>
      <c r="P58" s="531">
        <v>25</v>
      </c>
      <c r="Q58" s="481"/>
      <c r="R58" s="309"/>
      <c r="S58" s="309"/>
      <c r="T58" s="310"/>
      <c r="U58" s="309"/>
      <c r="V58" s="310"/>
      <c r="W58" s="309"/>
      <c r="X58" s="310"/>
      <c r="Y58" s="309"/>
      <c r="Z58" s="311"/>
    </row>
    <row r="59" spans="1:26" ht="15" thickBot="1" x14ac:dyDescent="0.4">
      <c r="A59" s="323" t="s">
        <v>242</v>
      </c>
      <c r="B59" s="498" t="s">
        <v>456</v>
      </c>
      <c r="C59" s="532">
        <f>+C56*C57*C58</f>
        <v>925</v>
      </c>
      <c r="D59" s="532">
        <f>+D56*D57*D58</f>
        <v>925</v>
      </c>
      <c r="E59" s="533">
        <f>+E56*E57*E58</f>
        <v>925</v>
      </c>
      <c r="F59" s="489"/>
      <c r="G59" s="488"/>
      <c r="H59" s="488"/>
      <c r="I59" s="488"/>
      <c r="J59" s="488"/>
      <c r="K59" s="488"/>
      <c r="L59" s="488"/>
      <c r="M59" s="488"/>
      <c r="N59" s="488"/>
      <c r="O59" s="491"/>
      <c r="P59" s="533">
        <f>+P56*P57*P58</f>
        <v>925</v>
      </c>
      <c r="Q59" s="489"/>
      <c r="R59" s="488"/>
      <c r="S59" s="488"/>
      <c r="T59" s="488"/>
      <c r="U59" s="488"/>
      <c r="V59" s="488"/>
      <c r="W59" s="488"/>
      <c r="X59" s="488"/>
      <c r="Y59" s="488"/>
      <c r="Z59" s="491"/>
    </row>
    <row r="60" spans="1:26" ht="15.5" thickTop="1" thickBot="1" x14ac:dyDescent="0.4">
      <c r="C60" s="304"/>
      <c r="D60" s="304"/>
      <c r="E60" s="304"/>
      <c r="F60" s="492"/>
      <c r="G60" s="200"/>
      <c r="H60" s="200"/>
      <c r="I60" s="200"/>
      <c r="J60" s="200"/>
      <c r="K60" s="200"/>
      <c r="L60" s="200"/>
      <c r="M60" s="200"/>
      <c r="N60" s="200"/>
      <c r="O60" s="200"/>
      <c r="P60" s="304"/>
      <c r="Q60" s="492"/>
      <c r="R60" s="200"/>
      <c r="S60" s="200"/>
      <c r="T60" s="200"/>
      <c r="U60" s="200"/>
      <c r="V60" s="200"/>
      <c r="W60" s="200"/>
      <c r="X60" s="200"/>
      <c r="Y60" s="200"/>
      <c r="Z60" s="200"/>
    </row>
    <row r="61" spans="1:26" ht="15.5" thickTop="1" thickBot="1" x14ac:dyDescent="0.4">
      <c r="A61" s="1032" t="s">
        <v>305</v>
      </c>
      <c r="B61" s="1033"/>
      <c r="C61" s="539">
        <f>+C12+C29+C41+C52+C59</f>
        <v>23565</v>
      </c>
      <c r="D61" s="835">
        <f>+D12+D29+D41+D52+D59</f>
        <v>24160</v>
      </c>
      <c r="E61" s="836">
        <f>+E12+E29+E41+E52+E59</f>
        <v>24191</v>
      </c>
      <c r="F61" s="494"/>
      <c r="G61" s="181"/>
      <c r="H61" s="181"/>
      <c r="I61" s="181"/>
      <c r="J61" s="181"/>
      <c r="K61" s="181"/>
      <c r="L61" s="181"/>
      <c r="M61" s="181"/>
      <c r="N61" s="181"/>
      <c r="O61" s="181"/>
      <c r="P61" s="834">
        <f>+P12+P29+P41+P52+P59</f>
        <v>26228</v>
      </c>
      <c r="Q61" s="494"/>
      <c r="R61" s="181"/>
      <c r="S61" s="181"/>
      <c r="T61" s="181"/>
      <c r="U61" s="181"/>
      <c r="V61" s="181"/>
      <c r="W61" s="181"/>
      <c r="X61" s="181"/>
      <c r="Y61" s="181"/>
      <c r="Z61" s="181"/>
    </row>
    <row r="62" spans="1:26" ht="15" thickTop="1" x14ac:dyDescent="0.35">
      <c r="A62" s="1035" t="s">
        <v>306</v>
      </c>
      <c r="B62" s="1036"/>
      <c r="C62" s="446"/>
      <c r="D62" s="446"/>
      <c r="E62" s="837">
        <f>+E61-D61</f>
        <v>31</v>
      </c>
      <c r="F62" s="494"/>
      <c r="G62" s="181"/>
      <c r="H62" s="181"/>
      <c r="I62" s="181"/>
      <c r="J62" s="181"/>
      <c r="K62" s="181"/>
      <c r="L62" s="181"/>
      <c r="M62" s="181"/>
      <c r="N62" s="181"/>
      <c r="O62" s="181"/>
      <c r="P62" s="832">
        <f>+P61-E61</f>
        <v>2037</v>
      </c>
      <c r="Q62" s="494"/>
      <c r="R62" s="181"/>
      <c r="S62" s="181"/>
      <c r="T62" s="181"/>
      <c r="U62" s="181"/>
      <c r="V62" s="181"/>
      <c r="W62" s="181"/>
      <c r="X62" s="181"/>
      <c r="Y62" s="181"/>
      <c r="Z62" s="181"/>
    </row>
    <row r="63" spans="1:26" ht="15" thickBot="1" x14ac:dyDescent="0.4">
      <c r="A63" s="1037"/>
      <c r="B63" s="1038"/>
      <c r="C63" s="490"/>
      <c r="D63" s="490"/>
      <c r="E63" s="838">
        <f>+E62/D61</f>
        <v>1.2831125827814569E-3</v>
      </c>
      <c r="F63" s="495"/>
      <c r="G63" s="181"/>
      <c r="H63" s="181"/>
      <c r="I63" s="181"/>
      <c r="J63" s="181"/>
      <c r="K63" s="181"/>
      <c r="L63" s="181"/>
      <c r="M63" s="181"/>
      <c r="N63" s="181"/>
      <c r="O63" s="181"/>
      <c r="P63" s="833">
        <f>+P62/E61</f>
        <v>8.420486957959572E-2</v>
      </c>
      <c r="Q63" s="495"/>
      <c r="R63" s="181"/>
      <c r="S63" s="181"/>
      <c r="T63" s="181"/>
      <c r="U63" s="181"/>
      <c r="V63" s="181"/>
      <c r="W63" s="181"/>
      <c r="X63" s="181"/>
      <c r="Y63" s="181"/>
      <c r="Z63" s="181"/>
    </row>
    <row r="64" spans="1:26" ht="15" thickTop="1" x14ac:dyDescent="0.35">
      <c r="F64" s="303"/>
      <c r="G64" s="303"/>
      <c r="H64" s="303"/>
      <c r="I64" s="181"/>
      <c r="J64" s="303"/>
      <c r="K64" s="181"/>
      <c r="L64" s="303"/>
      <c r="M64" s="181"/>
      <c r="N64" s="303"/>
      <c r="O64" s="303"/>
      <c r="Q64" s="303"/>
      <c r="R64" s="303"/>
      <c r="S64" s="303"/>
      <c r="T64" s="181"/>
      <c r="U64" s="303"/>
      <c r="V64" s="181"/>
      <c r="W64" s="303"/>
      <c r="X64" s="181"/>
      <c r="Y64" s="303"/>
      <c r="Z64" s="303"/>
    </row>
    <row r="65" spans="4:24" x14ac:dyDescent="0.35">
      <c r="D65" s="143"/>
      <c r="I65" s="200"/>
      <c r="K65" s="200"/>
      <c r="M65" s="200"/>
      <c r="T65" s="200"/>
      <c r="V65" s="200"/>
      <c r="X65" s="200"/>
    </row>
    <row r="66" spans="4:24" x14ac:dyDescent="0.35">
      <c r="I66" s="200"/>
      <c r="K66" s="200"/>
      <c r="M66" s="200"/>
      <c r="T66" s="200"/>
      <c r="V66" s="200"/>
      <c r="X66" s="200"/>
    </row>
    <row r="67" spans="4:24" x14ac:dyDescent="0.35">
      <c r="I67" s="200"/>
      <c r="K67" s="200"/>
      <c r="M67" s="200"/>
      <c r="T67" s="200"/>
      <c r="V67" s="200"/>
      <c r="X67" s="200"/>
    </row>
    <row r="68" spans="4:24" x14ac:dyDescent="0.35">
      <c r="I68" s="200"/>
      <c r="K68" s="200"/>
      <c r="M68" s="200"/>
      <c r="T68" s="200"/>
      <c r="V68" s="200"/>
      <c r="X68" s="200"/>
    </row>
    <row r="69" spans="4:24" x14ac:dyDescent="0.35">
      <c r="I69" s="200"/>
      <c r="K69" s="200"/>
      <c r="M69" s="200"/>
      <c r="T69" s="200"/>
      <c r="V69" s="200"/>
      <c r="X69" s="200"/>
    </row>
    <row r="70" spans="4:24" x14ac:dyDescent="0.35">
      <c r="I70" s="200"/>
      <c r="K70" s="200"/>
      <c r="M70" s="200"/>
      <c r="T70" s="200"/>
      <c r="V70" s="200"/>
      <c r="X70" s="200"/>
    </row>
    <row r="71" spans="4:24" x14ac:dyDescent="0.35">
      <c r="I71" s="200"/>
      <c r="K71" s="200"/>
      <c r="M71" s="200"/>
      <c r="T71" s="200"/>
      <c r="V71" s="200"/>
      <c r="X71" s="200"/>
    </row>
    <row r="72" spans="4:24" x14ac:dyDescent="0.35">
      <c r="I72" s="200"/>
      <c r="K72" s="200"/>
      <c r="M72" s="200"/>
      <c r="T72" s="200"/>
      <c r="V72" s="200"/>
      <c r="X72" s="200"/>
    </row>
    <row r="73" spans="4:24" x14ac:dyDescent="0.35">
      <c r="I73" s="200"/>
      <c r="K73" s="200"/>
      <c r="M73" s="200"/>
      <c r="T73" s="200"/>
      <c r="V73" s="200"/>
      <c r="X73" s="200"/>
    </row>
    <row r="74" spans="4:24" x14ac:dyDescent="0.35">
      <c r="I74" s="200"/>
      <c r="K74" s="200"/>
      <c r="M74" s="200"/>
      <c r="T74" s="200"/>
      <c r="V74" s="200"/>
      <c r="X74" s="200"/>
    </row>
    <row r="75" spans="4:24" x14ac:dyDescent="0.35">
      <c r="I75" s="200"/>
      <c r="K75" s="200"/>
      <c r="M75" s="200"/>
      <c r="T75" s="200"/>
      <c r="V75" s="200"/>
      <c r="X75" s="200"/>
    </row>
    <row r="76" spans="4:24" x14ac:dyDescent="0.35">
      <c r="I76" s="200"/>
      <c r="K76" s="200"/>
      <c r="M76" s="200"/>
      <c r="T76" s="200"/>
      <c r="V76" s="200"/>
      <c r="X76" s="200"/>
    </row>
    <row r="77" spans="4:24" x14ac:dyDescent="0.35">
      <c r="I77" s="200"/>
      <c r="K77" s="200"/>
      <c r="M77" s="200"/>
      <c r="T77" s="200"/>
      <c r="V77" s="200"/>
      <c r="X77" s="200"/>
    </row>
    <row r="78" spans="4:24" x14ac:dyDescent="0.35">
      <c r="I78" s="200"/>
      <c r="K78" s="200"/>
      <c r="M78" s="200"/>
      <c r="T78" s="200"/>
      <c r="V78" s="200"/>
      <c r="X78" s="200"/>
    </row>
    <row r="79" spans="4:24" x14ac:dyDescent="0.35">
      <c r="I79" s="200"/>
      <c r="K79" s="200"/>
      <c r="M79" s="200"/>
      <c r="T79" s="200"/>
      <c r="V79" s="200"/>
      <c r="X79" s="200"/>
    </row>
  </sheetData>
  <mergeCells count="27">
    <mergeCell ref="A1:Z1"/>
    <mergeCell ref="A62:B63"/>
    <mergeCell ref="A54:A56"/>
    <mergeCell ref="A57:A58"/>
    <mergeCell ref="A61:B61"/>
    <mergeCell ref="A14:A22"/>
    <mergeCell ref="A23:A26"/>
    <mergeCell ref="A27:A29"/>
    <mergeCell ref="A31:A38"/>
    <mergeCell ref="A39:A40"/>
    <mergeCell ref="A49:A50"/>
    <mergeCell ref="A30:O30"/>
    <mergeCell ref="A42:O42"/>
    <mergeCell ref="A53:O53"/>
    <mergeCell ref="A43:A45"/>
    <mergeCell ref="A46:A47"/>
    <mergeCell ref="G43:O44"/>
    <mergeCell ref="Q3:Z3"/>
    <mergeCell ref="R12:Z12"/>
    <mergeCell ref="R14:Z15"/>
    <mergeCell ref="S41:Z41"/>
    <mergeCell ref="R43:Z44"/>
    <mergeCell ref="H41:O41"/>
    <mergeCell ref="A13:O13"/>
    <mergeCell ref="F3:O3"/>
    <mergeCell ref="G12:O12"/>
    <mergeCell ref="G14:O15"/>
  </mergeCells>
  <printOptions horizontalCentered="1" verticalCentered="1"/>
  <pageMargins left="0.2" right="0.2" top="0.25" bottom="0.25" header="0.3" footer="0.3"/>
  <pageSetup scale="75" orientation="portrait" horizontalDpi="4294967293" verticalDpi="0" r:id="rId1"/>
  <headerFooter>
    <oddFooter>&amp;R&amp;D</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showGridLines="0" workbookViewId="0">
      <selection activeCell="C45" sqref="C45"/>
    </sheetView>
  </sheetViews>
  <sheetFormatPr defaultRowHeight="15.5" x14ac:dyDescent="0.35"/>
  <cols>
    <col min="1" max="1" width="1.7265625" style="347" customWidth="1"/>
    <col min="2" max="2" width="43.54296875" style="347" customWidth="1"/>
    <col min="3" max="3" width="10.26953125" style="379" customWidth="1"/>
    <col min="4" max="4" width="58.90625" style="347" customWidth="1"/>
    <col min="5" max="5" width="9.7265625" style="347" bestFit="1" customWidth="1"/>
    <col min="6" max="16384" width="8.7265625" style="347"/>
  </cols>
  <sheetData>
    <row r="1" spans="1:5" ht="20" x14ac:dyDescent="0.35">
      <c r="A1" s="961" t="s">
        <v>83</v>
      </c>
      <c r="B1" s="961"/>
      <c r="C1" s="961"/>
      <c r="D1" s="961"/>
      <c r="E1" s="961"/>
    </row>
    <row r="2" spans="1:5" ht="18.5" customHeight="1" x14ac:dyDescent="0.35">
      <c r="A2" s="962" t="s">
        <v>475</v>
      </c>
      <c r="B2" s="962"/>
      <c r="C2" s="962"/>
      <c r="D2" s="962"/>
      <c r="E2" s="962"/>
    </row>
    <row r="3" spans="1:5" ht="18.5" customHeight="1" thickBot="1" x14ac:dyDescent="0.4">
      <c r="A3" s="554"/>
      <c r="B3" s="554"/>
      <c r="C3" s="554"/>
      <c r="D3" s="554"/>
      <c r="E3" s="554"/>
    </row>
    <row r="4" spans="1:5" ht="30" customHeight="1" thickBot="1" x14ac:dyDescent="0.4">
      <c r="A4" s="554"/>
      <c r="B4" s="1063" t="s">
        <v>339</v>
      </c>
      <c r="C4" s="1064"/>
      <c r="D4" s="1064"/>
      <c r="E4" s="1065"/>
    </row>
    <row r="5" spans="1:5" x14ac:dyDescent="0.35">
      <c r="B5" s="555" t="s">
        <v>405</v>
      </c>
      <c r="C5" s="556">
        <f>+'New Year-Full Year'!P81+'New Year-Full Year'!P84</f>
        <v>84504</v>
      </c>
      <c r="D5" s="1066" t="str">
        <f>+"Annually  ($"&amp;'New Year-Full Year'!P81-22000&amp;" salary, $22000 housing, and $"&amp;'New Year-Full Year'!P84&amp;" FICA Tax)"</f>
        <v>Annually  ($56499 salary, $22000 housing, and $6005 FICA Tax)</v>
      </c>
      <c r="E5" s="1067"/>
    </row>
    <row r="6" spans="1:5" ht="16" thickBot="1" x14ac:dyDescent="0.4">
      <c r="B6" s="558" t="s">
        <v>337</v>
      </c>
      <c r="C6" s="557">
        <f>+'New Year-Full Year'!P86</f>
        <v>19013</v>
      </c>
      <c r="D6" s="1068" t="str">
        <f>"Annually (the Portico % to use is "&amp;Pastor!Q39*100&amp;"%)"</f>
        <v>Annually (the Portico % to use is 22.5%)</v>
      </c>
      <c r="E6" s="1069"/>
    </row>
    <row r="7" spans="1:5" x14ac:dyDescent="0.35">
      <c r="B7" s="555" t="s">
        <v>406</v>
      </c>
      <c r="C7" s="556">
        <f>+'New Year-Full Year'!P94+'New Year-Full Year'!P96</f>
        <v>72075</v>
      </c>
      <c r="D7" s="1066" t="str">
        <f>+"Annually  ($"&amp;'New Year-Full Year'!P94-20000&amp;" salary, $20000 housing, and $"&amp;'New Year-Full Year'!P96&amp;" FICA Tax)"</f>
        <v>Annually  ($46953 salary, $20000 housing, and $5122 FICA Tax)</v>
      </c>
      <c r="E7" s="1067"/>
    </row>
    <row r="8" spans="1:5" ht="16" thickBot="1" x14ac:dyDescent="0.4">
      <c r="B8" s="558" t="s">
        <v>337</v>
      </c>
      <c r="C8" s="557">
        <f>+'New Year-Full Year'!P97</f>
        <v>11532</v>
      </c>
      <c r="D8" s="1068" t="str">
        <f>"Annually (the Portico % to use is "&amp;'Assoc. Pastor'!E36*100&amp;"%)"</f>
        <v>Annually (the Portico % to use is 16%)</v>
      </c>
      <c r="E8" s="1069"/>
    </row>
    <row r="9" spans="1:5" ht="18.5" customHeight="1" thickBot="1" x14ac:dyDescent="0.4">
      <c r="A9" s="554"/>
      <c r="B9" s="554"/>
      <c r="C9" s="554"/>
      <c r="D9" s="554"/>
      <c r="E9" s="554"/>
    </row>
    <row r="10" spans="1:5" ht="30" customHeight="1" thickBot="1" x14ac:dyDescent="0.4">
      <c r="A10" s="355"/>
      <c r="B10" s="373" t="s">
        <v>269</v>
      </c>
      <c r="C10" s="374" t="s">
        <v>270</v>
      </c>
      <c r="D10" s="355"/>
      <c r="E10" s="694"/>
    </row>
    <row r="11" spans="1:5" ht="18.5" customHeight="1" x14ac:dyDescent="0.35">
      <c r="A11" s="355"/>
      <c r="B11" s="369" t="s">
        <v>338</v>
      </c>
      <c r="C11" s="370">
        <f>+'New Year-Full Year'!F106</f>
        <v>10</v>
      </c>
      <c r="D11" s="355"/>
      <c r="E11" s="355"/>
    </row>
    <row r="12" spans="1:5" ht="18.5" customHeight="1" x14ac:dyDescent="0.35">
      <c r="A12" s="355"/>
      <c r="B12" s="369" t="s">
        <v>334</v>
      </c>
      <c r="C12" s="370">
        <f>+'New Year-Full Year'!F123</f>
        <v>19.93</v>
      </c>
      <c r="D12" s="695"/>
      <c r="E12" s="355"/>
    </row>
    <row r="13" spans="1:5" ht="18.5" customHeight="1" x14ac:dyDescent="0.35">
      <c r="A13" s="355"/>
      <c r="B13" s="369" t="s">
        <v>335</v>
      </c>
      <c r="C13" s="370">
        <f>+'New Year-Full Year'!F127</f>
        <v>11.86</v>
      </c>
      <c r="D13" s="355"/>
      <c r="E13" s="355"/>
    </row>
    <row r="14" spans="1:5" ht="18.5" customHeight="1" x14ac:dyDescent="0.35">
      <c r="A14" s="894"/>
      <c r="B14" s="369" t="s">
        <v>589</v>
      </c>
      <c r="C14" s="370">
        <f>+'New Year-Full Year'!F128</f>
        <v>13.33</v>
      </c>
      <c r="D14" s="894"/>
      <c r="E14" s="894"/>
    </row>
    <row r="15" spans="1:5" ht="18.5" customHeight="1" x14ac:dyDescent="0.35">
      <c r="A15" s="355"/>
      <c r="B15" s="369" t="s">
        <v>590</v>
      </c>
      <c r="C15" s="370">
        <f>+'New Year-Full Year'!F129</f>
        <v>11</v>
      </c>
      <c r="D15" s="355"/>
      <c r="E15" s="355"/>
    </row>
    <row r="16" spans="1:5" ht="4" customHeight="1" thickBot="1" x14ac:dyDescent="0.4">
      <c r="A16" s="355"/>
      <c r="B16" s="371"/>
      <c r="C16" s="372"/>
      <c r="D16" s="355"/>
      <c r="E16" s="355"/>
    </row>
    <row r="17" spans="1:7" ht="8" customHeight="1" x14ac:dyDescent="0.35">
      <c r="A17" s="355"/>
      <c r="B17" s="355"/>
      <c r="C17" s="355"/>
      <c r="D17" s="355"/>
      <c r="E17" s="355"/>
    </row>
    <row r="18" spans="1:7" ht="18.5" customHeight="1" thickBot="1" x14ac:dyDescent="0.4">
      <c r="A18" s="355"/>
      <c r="B18" s="346" t="s">
        <v>268</v>
      </c>
      <c r="C18" s="355"/>
      <c r="D18" s="355"/>
      <c r="E18" s="355"/>
    </row>
    <row r="19" spans="1:7" ht="16" thickBot="1" x14ac:dyDescent="0.4">
      <c r="A19" s="348"/>
      <c r="B19" s="360" t="s">
        <v>272</v>
      </c>
      <c r="C19" s="376"/>
      <c r="D19" s="1055" t="s">
        <v>271</v>
      </c>
      <c r="E19" s="1056"/>
    </row>
    <row r="20" spans="1:7" ht="52" customHeight="1" thickBot="1" x14ac:dyDescent="0.4">
      <c r="B20" s="375" t="s">
        <v>218</v>
      </c>
      <c r="C20" s="427">
        <f>+'Band and Other Music'!P12</f>
        <v>3168</v>
      </c>
      <c r="D20" s="1061" t="s">
        <v>548</v>
      </c>
      <c r="E20" s="1062"/>
    </row>
    <row r="21" spans="1:7" ht="33" customHeight="1" thickBot="1" x14ac:dyDescent="0.4">
      <c r="B21" s="375" t="s">
        <v>105</v>
      </c>
      <c r="C21" s="427">
        <f>+'New Year-Full Year'!P109</f>
        <v>16795</v>
      </c>
      <c r="D21" s="1061" t="s">
        <v>188</v>
      </c>
      <c r="E21" s="1062"/>
    </row>
    <row r="22" spans="1:7" ht="33" customHeight="1" thickBot="1" x14ac:dyDescent="0.4">
      <c r="B22" s="375" t="s">
        <v>336</v>
      </c>
      <c r="C22" s="427">
        <f>+'New Year-Full Year'!P117</f>
        <v>3000</v>
      </c>
      <c r="D22" s="1061" t="s">
        <v>188</v>
      </c>
      <c r="E22" s="1062"/>
    </row>
    <row r="23" spans="1:7" ht="16" thickBot="1" x14ac:dyDescent="0.4">
      <c r="A23" s="356"/>
      <c r="B23" s="349"/>
      <c r="C23" s="377"/>
      <c r="D23" s="349"/>
    </row>
    <row r="24" spans="1:7" ht="16" thickBot="1" x14ac:dyDescent="0.4">
      <c r="A24" s="350"/>
      <c r="B24" s="360" t="s">
        <v>243</v>
      </c>
      <c r="C24" s="376"/>
      <c r="D24" s="361"/>
      <c r="E24" s="362"/>
    </row>
    <row r="25" spans="1:7" x14ac:dyDescent="0.35">
      <c r="A25" s="1054"/>
      <c r="B25" s="357" t="s">
        <v>543</v>
      </c>
      <c r="C25" s="428">
        <f>+'Band and Other Music'!P23</f>
        <v>5</v>
      </c>
      <c r="D25" s="1057" t="s">
        <v>508</v>
      </c>
      <c r="E25" s="1058"/>
    </row>
    <row r="26" spans="1:7" x14ac:dyDescent="0.35">
      <c r="A26" s="1054"/>
      <c r="B26" s="357" t="s">
        <v>544</v>
      </c>
      <c r="C26" s="428">
        <f>+'Band and Other Music'!P24</f>
        <v>3</v>
      </c>
      <c r="D26" s="1057"/>
      <c r="E26" s="1058"/>
    </row>
    <row r="27" spans="1:7" x14ac:dyDescent="0.35">
      <c r="A27" s="1054"/>
      <c r="B27" s="357" t="s">
        <v>595</v>
      </c>
      <c r="C27" s="429">
        <f>+'Band and Other Music'!P25</f>
        <v>25</v>
      </c>
      <c r="D27" s="1057"/>
      <c r="E27" s="1058"/>
      <c r="G27" s="351"/>
    </row>
    <row r="28" spans="1:7" ht="16" thickBot="1" x14ac:dyDescent="0.4">
      <c r="A28" s="1054"/>
      <c r="B28" s="358" t="s">
        <v>595</v>
      </c>
      <c r="C28" s="430">
        <f>+'Band and Other Music'!P26</f>
        <v>35</v>
      </c>
      <c r="D28" s="1059"/>
      <c r="E28" s="1060"/>
    </row>
    <row r="29" spans="1:7" ht="16" thickBot="1" x14ac:dyDescent="0.4">
      <c r="A29" s="350"/>
    </row>
    <row r="30" spans="1:7" ht="16" thickBot="1" x14ac:dyDescent="0.4">
      <c r="A30" s="350"/>
      <c r="B30" s="360" t="s">
        <v>507</v>
      </c>
      <c r="C30" s="376"/>
      <c r="D30" s="361"/>
      <c r="E30" s="362"/>
    </row>
    <row r="31" spans="1:7" x14ac:dyDescent="0.35">
      <c r="A31" s="1054"/>
      <c r="B31" s="357" t="s">
        <v>545</v>
      </c>
      <c r="C31" s="428">
        <f>+'Band and Other Music'!P39</f>
        <v>2</v>
      </c>
      <c r="D31" s="1057" t="s">
        <v>267</v>
      </c>
      <c r="E31" s="1058"/>
    </row>
    <row r="32" spans="1:7" ht="16" thickBot="1" x14ac:dyDescent="0.4">
      <c r="A32" s="1054"/>
      <c r="B32" s="358" t="s">
        <v>593</v>
      </c>
      <c r="C32" s="430">
        <f>+'Band and Other Music'!P40</f>
        <v>25</v>
      </c>
      <c r="D32" s="1059"/>
      <c r="E32" s="1060"/>
    </row>
    <row r="33" spans="1:5" ht="16" thickBot="1" x14ac:dyDescent="0.4">
      <c r="A33" s="350"/>
    </row>
    <row r="34" spans="1:5" ht="16" thickBot="1" x14ac:dyDescent="0.4">
      <c r="A34" s="350"/>
      <c r="B34" s="360" t="s">
        <v>262</v>
      </c>
      <c r="C34" s="376"/>
      <c r="D34" s="361"/>
      <c r="E34" s="362"/>
    </row>
    <row r="35" spans="1:5" x14ac:dyDescent="0.35">
      <c r="A35" s="1054"/>
      <c r="B35" s="357" t="s">
        <v>546</v>
      </c>
      <c r="C35" s="428">
        <f>+'Band and Other Music'!P46</f>
        <v>3</v>
      </c>
      <c r="D35" s="350" t="s">
        <v>252</v>
      </c>
      <c r="E35" s="363"/>
    </row>
    <row r="36" spans="1:5" ht="16" thickBot="1" x14ac:dyDescent="0.4">
      <c r="A36" s="1054"/>
      <c r="B36" s="365" t="s">
        <v>593</v>
      </c>
      <c r="C36" s="431">
        <f>+'Band and Other Music'!P47</f>
        <v>50</v>
      </c>
      <c r="D36" s="352"/>
      <c r="E36" s="366"/>
    </row>
    <row r="37" spans="1:5" ht="15" customHeight="1" x14ac:dyDescent="0.35">
      <c r="A37" s="1054"/>
      <c r="B37" s="367" t="s">
        <v>273</v>
      </c>
      <c r="C37" s="432">
        <f>+'Band and Other Music'!P49</f>
        <v>2</v>
      </c>
      <c r="D37" s="353" t="s">
        <v>252</v>
      </c>
      <c r="E37" s="368"/>
    </row>
    <row r="38" spans="1:5" ht="15" customHeight="1" thickBot="1" x14ac:dyDescent="0.4">
      <c r="A38" s="1054"/>
      <c r="B38" s="358" t="s">
        <v>594</v>
      </c>
      <c r="C38" s="430">
        <f>+'Band and Other Music'!P50</f>
        <v>25</v>
      </c>
      <c r="D38" s="359"/>
      <c r="E38" s="364"/>
    </row>
    <row r="39" spans="1:5" ht="16" thickBot="1" x14ac:dyDescent="0.4">
      <c r="A39" s="354"/>
      <c r="B39" s="350"/>
      <c r="C39" s="378"/>
      <c r="D39" s="350"/>
      <c r="E39" s="350"/>
    </row>
    <row r="40" spans="1:5" ht="16" thickBot="1" x14ac:dyDescent="0.4">
      <c r="A40" s="350"/>
      <c r="B40" s="360" t="s">
        <v>219</v>
      </c>
      <c r="C40" s="376"/>
      <c r="D40" s="361"/>
      <c r="E40" s="362"/>
    </row>
    <row r="41" spans="1:5" x14ac:dyDescent="0.35">
      <c r="A41" s="1054"/>
      <c r="B41" s="357" t="s">
        <v>547</v>
      </c>
      <c r="C41" s="428">
        <f>+'Band and Other Music'!P57</f>
        <v>1</v>
      </c>
      <c r="D41" s="350"/>
      <c r="E41" s="363"/>
    </row>
    <row r="42" spans="1:5" ht="16" thickBot="1" x14ac:dyDescent="0.4">
      <c r="A42" s="1054"/>
      <c r="B42" s="358" t="s">
        <v>592</v>
      </c>
      <c r="C42" s="430">
        <f>+'Band and Other Music'!P58</f>
        <v>25</v>
      </c>
      <c r="D42" s="359"/>
      <c r="E42" s="364"/>
    </row>
    <row r="43" spans="1:5" ht="16" thickBot="1" x14ac:dyDescent="0.4">
      <c r="A43" s="350"/>
      <c r="C43" s="380"/>
    </row>
    <row r="44" spans="1:5" ht="16" thickBot="1" x14ac:dyDescent="0.4">
      <c r="A44" s="350"/>
      <c r="B44" s="360" t="s">
        <v>591</v>
      </c>
      <c r="C44" s="376"/>
      <c r="D44" s="361"/>
      <c r="E44" s="362"/>
    </row>
    <row r="45" spans="1:5" x14ac:dyDescent="0.35">
      <c r="A45" s="1054"/>
      <c r="B45" s="357" t="s">
        <v>547</v>
      </c>
      <c r="C45" s="747">
        <v>1</v>
      </c>
      <c r="D45" s="350"/>
      <c r="E45" s="363"/>
    </row>
    <row r="46" spans="1:5" ht="16" thickBot="1" x14ac:dyDescent="0.4">
      <c r="A46" s="1054"/>
      <c r="B46" s="358" t="s">
        <v>592</v>
      </c>
      <c r="C46" s="898">
        <v>35</v>
      </c>
      <c r="D46" s="359"/>
      <c r="E46" s="364"/>
    </row>
    <row r="47" spans="1:5" x14ac:dyDescent="0.35">
      <c r="A47" s="350"/>
    </row>
    <row r="48" spans="1:5" x14ac:dyDescent="0.35">
      <c r="A48" s="350"/>
    </row>
    <row r="49" spans="1:1" x14ac:dyDescent="0.35">
      <c r="A49" s="350"/>
    </row>
    <row r="50" spans="1:1" x14ac:dyDescent="0.35">
      <c r="A50" s="350"/>
    </row>
    <row r="51" spans="1:1" x14ac:dyDescent="0.35">
      <c r="A51" s="350"/>
    </row>
    <row r="52" spans="1:1" x14ac:dyDescent="0.35">
      <c r="A52" s="350"/>
    </row>
    <row r="53" spans="1:1" x14ac:dyDescent="0.35">
      <c r="A53" s="350"/>
    </row>
    <row r="54" spans="1:1" x14ac:dyDescent="0.35">
      <c r="A54" s="350"/>
    </row>
    <row r="55" spans="1:1" x14ac:dyDescent="0.35">
      <c r="A55" s="350"/>
    </row>
    <row r="56" spans="1:1" x14ac:dyDescent="0.35">
      <c r="A56" s="350"/>
    </row>
    <row r="57" spans="1:1" x14ac:dyDescent="0.35">
      <c r="A57" s="350"/>
    </row>
    <row r="58" spans="1:1" x14ac:dyDescent="0.35">
      <c r="A58" s="350"/>
    </row>
    <row r="59" spans="1:1" x14ac:dyDescent="0.35">
      <c r="A59" s="350"/>
    </row>
  </sheetData>
  <mergeCells count="19">
    <mergeCell ref="B4:E4"/>
    <mergeCell ref="A1:E1"/>
    <mergeCell ref="A2:E2"/>
    <mergeCell ref="D7:E7"/>
    <mergeCell ref="D8:E8"/>
    <mergeCell ref="D6:E6"/>
    <mergeCell ref="D5:E5"/>
    <mergeCell ref="A25:A28"/>
    <mergeCell ref="D19:E19"/>
    <mergeCell ref="A31:A32"/>
    <mergeCell ref="A35:A36"/>
    <mergeCell ref="A45:A46"/>
    <mergeCell ref="A41:A42"/>
    <mergeCell ref="D25:E28"/>
    <mergeCell ref="D31:E32"/>
    <mergeCell ref="A37:A38"/>
    <mergeCell ref="D21:E21"/>
    <mergeCell ref="D22:E22"/>
    <mergeCell ref="D20:E20"/>
  </mergeCells>
  <printOptions horizontalCentered="1"/>
  <pageMargins left="0.2" right="0.2" top="0.25" bottom="0.25" header="0.3" footer="0.3"/>
  <pageSetup scale="83"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F24" sqref="F24"/>
    </sheetView>
  </sheetViews>
  <sheetFormatPr defaultColWidth="9.08984375" defaultRowHeight="14.5" x14ac:dyDescent="0.35"/>
  <cols>
    <col min="1" max="1" width="4.453125" style="42" hidden="1" customWidth="1"/>
    <col min="2" max="2" width="4.36328125" style="2" customWidth="1"/>
    <col min="3" max="3" width="9.08984375" style="1"/>
    <col min="4" max="4" width="24.81640625" style="49" customWidth="1"/>
    <col min="5" max="5" width="11.08984375" style="1" customWidth="1"/>
    <col min="6" max="9" width="14.6328125" style="1" customWidth="1"/>
    <col min="10" max="16384" width="9.08984375" style="1"/>
  </cols>
  <sheetData>
    <row r="1" spans="1:9" ht="41.25" customHeight="1" x14ac:dyDescent="0.35">
      <c r="B1" s="387" t="s">
        <v>83</v>
      </c>
      <c r="C1" s="385"/>
      <c r="D1" s="385"/>
      <c r="E1" s="385"/>
    </row>
    <row r="2" spans="1:9" ht="23.25" customHeight="1" x14ac:dyDescent="0.35">
      <c r="E2" s="386" t="s">
        <v>82</v>
      </c>
    </row>
    <row r="3" spans="1:9" x14ac:dyDescent="0.35">
      <c r="E3" s="1070" t="s">
        <v>184</v>
      </c>
      <c r="F3" s="1072" t="s">
        <v>184</v>
      </c>
      <c r="G3" s="1073"/>
      <c r="H3" s="1073"/>
      <c r="I3" s="1074"/>
    </row>
    <row r="4" spans="1:9" s="2" customFormat="1" x14ac:dyDescent="0.35">
      <c r="A4" s="43"/>
      <c r="D4" s="14"/>
      <c r="E4" s="1071"/>
      <c r="F4" s="381" t="s">
        <v>275</v>
      </c>
      <c r="G4" s="382" t="s">
        <v>276</v>
      </c>
      <c r="H4" s="382" t="s">
        <v>277</v>
      </c>
      <c r="I4" s="382" t="s">
        <v>278</v>
      </c>
    </row>
    <row r="5" spans="1:9" ht="6" customHeight="1" x14ac:dyDescent="0.35">
      <c r="A5" s="42">
        <v>18</v>
      </c>
    </row>
    <row r="6" spans="1:9" ht="18.5" x14ac:dyDescent="0.35">
      <c r="A6" s="42">
        <v>20</v>
      </c>
      <c r="B6" s="6" t="s">
        <v>88</v>
      </c>
    </row>
    <row r="7" spans="1:9" s="2" customFormat="1" x14ac:dyDescent="0.35">
      <c r="A7" s="42">
        <v>26</v>
      </c>
      <c r="B7" s="11"/>
      <c r="C7" s="12" t="s">
        <v>89</v>
      </c>
      <c r="D7" s="12"/>
      <c r="E7" s="11">
        <v>51330</v>
      </c>
      <c r="H7" s="1">
        <v>51330</v>
      </c>
      <c r="I7" s="1"/>
    </row>
    <row r="8" spans="1:9" s="2" customFormat="1" ht="6.75" customHeight="1" x14ac:dyDescent="0.35">
      <c r="A8" s="42">
        <v>27</v>
      </c>
      <c r="B8" s="14"/>
      <c r="C8" s="15"/>
      <c r="D8" s="14"/>
      <c r="E8" s="14"/>
    </row>
    <row r="9" spans="1:9" s="2" customFormat="1" ht="18.5" x14ac:dyDescent="0.35">
      <c r="A9" s="42">
        <v>28</v>
      </c>
      <c r="B9" s="18" t="s">
        <v>58</v>
      </c>
      <c r="C9" s="15"/>
      <c r="D9" s="14"/>
      <c r="E9" s="14"/>
    </row>
    <row r="10" spans="1:9" x14ac:dyDescent="0.35">
      <c r="A10" s="42">
        <v>29</v>
      </c>
      <c r="B10" s="2" t="s">
        <v>12</v>
      </c>
    </row>
    <row r="11" spans="1:9" x14ac:dyDescent="0.35">
      <c r="A11" s="42">
        <v>30</v>
      </c>
      <c r="C11" s="228" t="s">
        <v>80</v>
      </c>
      <c r="D11" s="240"/>
      <c r="E11" s="225">
        <v>2000</v>
      </c>
      <c r="G11" s="1">
        <v>2000</v>
      </c>
    </row>
    <row r="12" spans="1:9" x14ac:dyDescent="0.35">
      <c r="A12" s="42">
        <v>31</v>
      </c>
      <c r="C12" s="233" t="s">
        <v>13</v>
      </c>
      <c r="D12" s="243"/>
      <c r="E12" s="230">
        <v>1000</v>
      </c>
      <c r="G12" s="1">
        <v>1000</v>
      </c>
    </row>
    <row r="13" spans="1:9" x14ac:dyDescent="0.35">
      <c r="A13" s="42">
        <v>32</v>
      </c>
      <c r="C13" s="233" t="s">
        <v>181</v>
      </c>
      <c r="D13" s="243"/>
      <c r="E13" s="230">
        <v>1000</v>
      </c>
      <c r="G13" s="1">
        <v>1000</v>
      </c>
    </row>
    <row r="14" spans="1:9" x14ac:dyDescent="0.35">
      <c r="A14" s="42">
        <v>33</v>
      </c>
      <c r="C14" s="233" t="s">
        <v>14</v>
      </c>
      <c r="D14" s="243"/>
      <c r="E14" s="230">
        <v>300</v>
      </c>
      <c r="G14" s="1">
        <v>300</v>
      </c>
    </row>
    <row r="15" spans="1:9" ht="14.5" customHeight="1" x14ac:dyDescent="0.35">
      <c r="A15" s="42">
        <v>34</v>
      </c>
      <c r="C15" s="233" t="s">
        <v>15</v>
      </c>
      <c r="D15" s="243"/>
      <c r="E15" s="230">
        <v>200</v>
      </c>
      <c r="G15" s="1">
        <v>200</v>
      </c>
    </row>
    <row r="16" spans="1:9" x14ac:dyDescent="0.35">
      <c r="C16" s="233" t="s">
        <v>104</v>
      </c>
      <c r="D16" s="243"/>
      <c r="E16" s="230">
        <v>750</v>
      </c>
      <c r="G16" s="1">
        <v>750</v>
      </c>
    </row>
    <row r="17" spans="1:7" ht="14.4" customHeight="1" x14ac:dyDescent="0.35">
      <c r="A17" s="42">
        <v>35</v>
      </c>
      <c r="C17" s="238" t="s">
        <v>84</v>
      </c>
      <c r="D17" s="246"/>
      <c r="E17" s="235">
        <v>200</v>
      </c>
      <c r="G17" s="1">
        <v>200</v>
      </c>
    </row>
    <row r="18" spans="1:7" s="2" customFormat="1" x14ac:dyDescent="0.35">
      <c r="A18" s="42">
        <v>36</v>
      </c>
      <c r="B18" s="36" t="s">
        <v>16</v>
      </c>
      <c r="C18" s="36"/>
      <c r="D18" s="36"/>
      <c r="E18" s="36">
        <v>5450</v>
      </c>
    </row>
    <row r="19" spans="1:7" ht="6" customHeight="1" x14ac:dyDescent="0.35">
      <c r="A19" s="42">
        <v>37</v>
      </c>
    </row>
    <row r="20" spans="1:7" x14ac:dyDescent="0.35">
      <c r="A20" s="42">
        <v>40</v>
      </c>
      <c r="B20" s="2" t="s">
        <v>145</v>
      </c>
    </row>
    <row r="21" spans="1:7" x14ac:dyDescent="0.35">
      <c r="A21" s="42">
        <v>41</v>
      </c>
      <c r="C21" s="228" t="s">
        <v>17</v>
      </c>
      <c r="D21" s="240"/>
      <c r="E21" s="253">
        <v>4000</v>
      </c>
      <c r="F21" s="1">
        <v>4000</v>
      </c>
    </row>
    <row r="22" spans="1:7" x14ac:dyDescent="0.35">
      <c r="C22" s="233" t="s">
        <v>150</v>
      </c>
      <c r="D22" s="243"/>
      <c r="E22" s="230">
        <v>0</v>
      </c>
      <c r="F22" s="1">
        <v>0</v>
      </c>
    </row>
    <row r="23" spans="1:7" x14ac:dyDescent="0.35">
      <c r="A23" s="42">
        <v>43</v>
      </c>
      <c r="C23" s="233" t="s">
        <v>18</v>
      </c>
      <c r="D23" s="243"/>
      <c r="E23" s="230">
        <v>100</v>
      </c>
      <c r="F23" s="1">
        <v>100</v>
      </c>
    </row>
    <row r="24" spans="1:7" x14ac:dyDescent="0.35">
      <c r="A24" s="42">
        <v>44</v>
      </c>
      <c r="C24" s="238" t="s">
        <v>19</v>
      </c>
      <c r="D24" s="246"/>
      <c r="E24" s="235">
        <v>200</v>
      </c>
      <c r="F24" s="1">
        <v>200</v>
      </c>
    </row>
    <row r="25" spans="1:7" s="2" customFormat="1" x14ac:dyDescent="0.35">
      <c r="A25" s="42">
        <v>45</v>
      </c>
      <c r="B25" s="36" t="s">
        <v>146</v>
      </c>
      <c r="C25" s="36"/>
      <c r="D25" s="36"/>
      <c r="E25" s="36">
        <v>4300</v>
      </c>
    </row>
    <row r="26" spans="1:7" ht="6.75" customHeight="1" x14ac:dyDescent="0.35">
      <c r="A26" s="42">
        <v>46</v>
      </c>
      <c r="D26" s="1"/>
    </row>
    <row r="27" spans="1:7" s="2" customFormat="1" x14ac:dyDescent="0.35">
      <c r="A27" s="42">
        <v>51</v>
      </c>
      <c r="B27" s="36" t="s">
        <v>20</v>
      </c>
      <c r="C27" s="36"/>
      <c r="D27" s="36"/>
      <c r="E27" s="47">
        <v>12800</v>
      </c>
      <c r="G27" s="1">
        <v>12800</v>
      </c>
    </row>
    <row r="28" spans="1:7" ht="6.75" customHeight="1" x14ac:dyDescent="0.35">
      <c r="A28" s="42">
        <v>52</v>
      </c>
    </row>
    <row r="29" spans="1:7" x14ac:dyDescent="0.35">
      <c r="A29" s="42">
        <v>53</v>
      </c>
      <c r="B29" s="2" t="s">
        <v>90</v>
      </c>
    </row>
    <row r="30" spans="1:7" x14ac:dyDescent="0.35">
      <c r="A30" s="42">
        <v>54</v>
      </c>
      <c r="C30" s="228" t="s">
        <v>92</v>
      </c>
      <c r="D30" s="240"/>
      <c r="E30" s="225">
        <v>400</v>
      </c>
      <c r="F30" s="1">
        <v>400</v>
      </c>
    </row>
    <row r="31" spans="1:7" x14ac:dyDescent="0.35">
      <c r="A31" s="42">
        <v>55</v>
      </c>
      <c r="C31" s="238" t="s">
        <v>87</v>
      </c>
      <c r="D31" s="246"/>
      <c r="E31" s="235">
        <v>150</v>
      </c>
      <c r="F31" s="1">
        <v>150</v>
      </c>
    </row>
    <row r="32" spans="1:7" s="2" customFormat="1" x14ac:dyDescent="0.35">
      <c r="A32" s="42">
        <v>56</v>
      </c>
      <c r="B32" s="36" t="s">
        <v>86</v>
      </c>
      <c r="C32" s="36"/>
      <c r="D32" s="36"/>
      <c r="E32" s="36">
        <v>550</v>
      </c>
    </row>
    <row r="33" spans="1:8" ht="5.25" customHeight="1" x14ac:dyDescent="0.35">
      <c r="A33" s="42">
        <v>57</v>
      </c>
    </row>
    <row r="34" spans="1:8" x14ac:dyDescent="0.35">
      <c r="A34" s="42">
        <v>58</v>
      </c>
      <c r="B34" s="36" t="s">
        <v>21</v>
      </c>
      <c r="C34" s="21"/>
      <c r="D34" s="21"/>
      <c r="E34" s="52">
        <v>200</v>
      </c>
      <c r="H34" s="1">
        <v>200</v>
      </c>
    </row>
    <row r="35" spans="1:8" ht="6" customHeight="1" x14ac:dyDescent="0.35">
      <c r="A35" s="42">
        <v>59</v>
      </c>
    </row>
    <row r="36" spans="1:8" x14ac:dyDescent="0.35">
      <c r="A36" s="42">
        <v>60</v>
      </c>
      <c r="B36" s="2" t="s">
        <v>22</v>
      </c>
    </row>
    <row r="37" spans="1:8" x14ac:dyDescent="0.35">
      <c r="A37" s="42">
        <v>61</v>
      </c>
      <c r="C37" s="228" t="s">
        <v>23</v>
      </c>
      <c r="D37" s="240"/>
      <c r="E37" s="253">
        <v>200</v>
      </c>
      <c r="F37" s="1">
        <v>200</v>
      </c>
    </row>
    <row r="38" spans="1:8" x14ac:dyDescent="0.35">
      <c r="A38" s="42">
        <v>62</v>
      </c>
      <c r="C38" s="233" t="s">
        <v>24</v>
      </c>
      <c r="D38" s="243"/>
      <c r="E38" s="251">
        <v>800</v>
      </c>
      <c r="F38" s="1">
        <v>800</v>
      </c>
    </row>
    <row r="39" spans="1:8" x14ac:dyDescent="0.35">
      <c r="A39" s="42">
        <v>63</v>
      </c>
      <c r="C39" s="233" t="s">
        <v>25</v>
      </c>
      <c r="D39" s="243"/>
      <c r="E39" s="251">
        <v>1000</v>
      </c>
      <c r="H39" s="1">
        <v>1000</v>
      </c>
    </row>
    <row r="40" spans="1:8" x14ac:dyDescent="0.35">
      <c r="A40" s="42">
        <v>64</v>
      </c>
      <c r="C40" s="233" t="s">
        <v>26</v>
      </c>
      <c r="D40" s="243"/>
      <c r="E40" s="251">
        <v>3000</v>
      </c>
      <c r="H40" s="1">
        <v>3000</v>
      </c>
    </row>
    <row r="41" spans="1:8" x14ac:dyDescent="0.35">
      <c r="C41" s="233" t="s">
        <v>107</v>
      </c>
      <c r="D41" s="243"/>
      <c r="E41" s="251">
        <v>200</v>
      </c>
      <c r="F41" s="1">
        <v>200</v>
      </c>
    </row>
    <row r="42" spans="1:8" x14ac:dyDescent="0.35">
      <c r="C42" s="233" t="s">
        <v>174</v>
      </c>
      <c r="D42" s="243"/>
      <c r="E42" s="251">
        <v>0</v>
      </c>
      <c r="F42" s="1">
        <v>0</v>
      </c>
    </row>
    <row r="43" spans="1:8" x14ac:dyDescent="0.35">
      <c r="A43" s="42">
        <v>65</v>
      </c>
      <c r="C43" s="238" t="s">
        <v>112</v>
      </c>
      <c r="D43" s="246"/>
      <c r="E43" s="252">
        <v>1575</v>
      </c>
      <c r="F43" s="1">
        <v>1575</v>
      </c>
    </row>
    <row r="44" spans="1:8" s="2" customFormat="1" x14ac:dyDescent="0.35">
      <c r="A44" s="42">
        <v>66</v>
      </c>
      <c r="B44" s="36" t="s">
        <v>27</v>
      </c>
      <c r="C44" s="36"/>
      <c r="D44" s="36"/>
      <c r="E44" s="36">
        <v>6775</v>
      </c>
    </row>
    <row r="45" spans="1:8" ht="6" customHeight="1" x14ac:dyDescent="0.35">
      <c r="A45" s="42">
        <v>67</v>
      </c>
    </row>
    <row r="46" spans="1:8" x14ac:dyDescent="0.35">
      <c r="A46" s="42">
        <v>68</v>
      </c>
      <c r="B46" s="2" t="s">
        <v>28</v>
      </c>
    </row>
    <row r="47" spans="1:8" ht="14.4" customHeight="1" x14ac:dyDescent="0.35">
      <c r="A47" s="42">
        <v>69</v>
      </c>
      <c r="C47" s="228" t="s">
        <v>29</v>
      </c>
      <c r="D47" s="240"/>
      <c r="E47" s="253">
        <v>3500</v>
      </c>
      <c r="F47" s="1">
        <v>3500</v>
      </c>
    </row>
    <row r="48" spans="1:8" x14ac:dyDescent="0.35">
      <c r="A48" s="42">
        <v>70</v>
      </c>
      <c r="C48" s="233" t="s">
        <v>30</v>
      </c>
      <c r="D48" s="243"/>
      <c r="E48" s="230">
        <v>3250</v>
      </c>
      <c r="F48" s="1">
        <v>3250</v>
      </c>
    </row>
    <row r="49" spans="1:6" ht="14.5" customHeight="1" x14ac:dyDescent="0.35">
      <c r="A49" s="42">
        <v>73</v>
      </c>
      <c r="C49" s="233" t="s">
        <v>31</v>
      </c>
      <c r="D49" s="243"/>
      <c r="E49" s="251">
        <v>13000</v>
      </c>
      <c r="F49" s="1">
        <v>13000</v>
      </c>
    </row>
    <row r="50" spans="1:6" x14ac:dyDescent="0.35">
      <c r="A50" s="42">
        <v>74</v>
      </c>
      <c r="C50" s="233" t="s">
        <v>32</v>
      </c>
      <c r="D50" s="243"/>
      <c r="E50" s="251">
        <v>1000</v>
      </c>
      <c r="F50" s="1">
        <v>1000</v>
      </c>
    </row>
    <row r="51" spans="1:6" x14ac:dyDescent="0.35">
      <c r="A51" s="42">
        <v>75</v>
      </c>
      <c r="C51" s="238" t="s">
        <v>33</v>
      </c>
      <c r="D51" s="246"/>
      <c r="E51" s="252">
        <v>1700</v>
      </c>
      <c r="F51" s="1">
        <v>1700</v>
      </c>
    </row>
    <row r="52" spans="1:6" ht="14.5" customHeight="1" x14ac:dyDescent="0.35">
      <c r="A52" s="42">
        <v>73</v>
      </c>
      <c r="C52" s="233" t="s">
        <v>274</v>
      </c>
      <c r="D52" s="243"/>
      <c r="E52" s="251">
        <v>0</v>
      </c>
      <c r="F52" s="1">
        <v>0</v>
      </c>
    </row>
    <row r="53" spans="1:6" s="2" customFormat="1" x14ac:dyDescent="0.35">
      <c r="A53" s="42">
        <v>76</v>
      </c>
      <c r="B53" s="36" t="s">
        <v>35</v>
      </c>
      <c r="C53" s="36"/>
      <c r="D53" s="36"/>
      <c r="E53" s="36">
        <v>22450</v>
      </c>
    </row>
    <row r="54" spans="1:6" x14ac:dyDescent="0.35">
      <c r="A54" s="42">
        <v>77</v>
      </c>
      <c r="B54" s="36" t="s">
        <v>85</v>
      </c>
      <c r="C54" s="22"/>
      <c r="D54" s="22"/>
      <c r="E54" s="36">
        <v>52525</v>
      </c>
    </row>
    <row r="55" spans="1:6" ht="8.25" customHeight="1" x14ac:dyDescent="0.35">
      <c r="A55" s="42">
        <v>78</v>
      </c>
    </row>
    <row r="56" spans="1:6" ht="30" customHeight="1" x14ac:dyDescent="0.35">
      <c r="A56" s="42">
        <v>79</v>
      </c>
      <c r="B56" s="6" t="s">
        <v>34</v>
      </c>
    </row>
    <row r="57" spans="1:6" ht="15" customHeight="1" x14ac:dyDescent="0.35">
      <c r="A57" s="42">
        <v>80</v>
      </c>
      <c r="B57" s="2" t="s">
        <v>147</v>
      </c>
      <c r="D57" s="49" t="s">
        <v>214</v>
      </c>
    </row>
    <row r="58" spans="1:6" ht="14.5" customHeight="1" x14ac:dyDescent="0.35">
      <c r="A58" s="42">
        <v>81</v>
      </c>
      <c r="C58" s="228" t="s">
        <v>171</v>
      </c>
      <c r="D58" s="240"/>
      <c r="E58" s="259">
        <v>72737</v>
      </c>
    </row>
    <row r="59" spans="1:6" x14ac:dyDescent="0.35">
      <c r="A59" s="42">
        <v>82</v>
      </c>
      <c r="C59" s="233" t="s">
        <v>36</v>
      </c>
      <c r="D59" s="243"/>
      <c r="E59" s="267">
        <v>1500</v>
      </c>
    </row>
    <row r="60" spans="1:6" ht="14.5" customHeight="1" x14ac:dyDescent="0.35">
      <c r="C60" s="233" t="s">
        <v>101</v>
      </c>
      <c r="D60" s="243"/>
      <c r="E60" s="267">
        <v>5564.3805000000002</v>
      </c>
    </row>
    <row r="61" spans="1:6" ht="14" customHeight="1" x14ac:dyDescent="0.35">
      <c r="C61" s="233" t="s">
        <v>165</v>
      </c>
      <c r="D61" s="243"/>
      <c r="E61" s="267">
        <v>16110</v>
      </c>
    </row>
    <row r="62" spans="1:6" ht="14.4" customHeight="1" x14ac:dyDescent="0.35">
      <c r="A62" s="42">
        <v>83</v>
      </c>
      <c r="C62" s="233" t="s">
        <v>166</v>
      </c>
      <c r="D62" s="243"/>
      <c r="E62" s="267">
        <v>2662</v>
      </c>
    </row>
    <row r="63" spans="1:6" x14ac:dyDescent="0.35">
      <c r="C63" s="233" t="s">
        <v>103</v>
      </c>
      <c r="D63" s="243"/>
      <c r="E63" s="267">
        <v>600</v>
      </c>
    </row>
    <row r="64" spans="1:6" x14ac:dyDescent="0.35">
      <c r="C64" s="233" t="s">
        <v>206</v>
      </c>
      <c r="D64" s="243"/>
      <c r="E64" s="267">
        <v>480</v>
      </c>
    </row>
    <row r="65" spans="1:8" x14ac:dyDescent="0.35">
      <c r="A65" s="42">
        <v>85</v>
      </c>
      <c r="C65" s="238" t="s">
        <v>37</v>
      </c>
      <c r="D65" s="246"/>
      <c r="E65" s="281">
        <v>1000</v>
      </c>
      <c r="F65" s="383">
        <v>0.4</v>
      </c>
      <c r="G65" s="383">
        <v>0.2</v>
      </c>
      <c r="H65" s="383">
        <v>0.4</v>
      </c>
    </row>
    <row r="66" spans="1:8" s="2" customFormat="1" x14ac:dyDescent="0.35">
      <c r="A66" s="42">
        <v>86</v>
      </c>
      <c r="B66" s="23" t="s">
        <v>148</v>
      </c>
      <c r="C66" s="23"/>
      <c r="D66" s="23"/>
      <c r="E66" s="23">
        <v>100653.3805</v>
      </c>
      <c r="F66" s="2">
        <v>40261.352200000001</v>
      </c>
      <c r="G66" s="2">
        <v>20130.676100000001</v>
      </c>
      <c r="H66" s="2">
        <v>40261.352200000001</v>
      </c>
    </row>
    <row r="67" spans="1:8" ht="6.75" customHeight="1" x14ac:dyDescent="0.35">
      <c r="A67" s="42">
        <v>87</v>
      </c>
    </row>
    <row r="68" spans="1:8" x14ac:dyDescent="0.35">
      <c r="A68" s="42">
        <v>88</v>
      </c>
      <c r="B68" s="2" t="s">
        <v>179</v>
      </c>
      <c r="E68" s="38"/>
    </row>
    <row r="69" spans="1:8" x14ac:dyDescent="0.35">
      <c r="A69" s="42">
        <v>89</v>
      </c>
      <c r="C69" s="228" t="s">
        <v>38</v>
      </c>
      <c r="D69" s="240"/>
      <c r="E69" s="253">
        <v>45000</v>
      </c>
    </row>
    <row r="70" spans="1:8" x14ac:dyDescent="0.35">
      <c r="C70" s="233" t="s">
        <v>37</v>
      </c>
      <c r="D70" s="243"/>
      <c r="E70" s="251">
        <v>750</v>
      </c>
    </row>
    <row r="71" spans="1:8" x14ac:dyDescent="0.35">
      <c r="C71" s="233" t="s">
        <v>39</v>
      </c>
      <c r="D71" s="243"/>
      <c r="E71" s="251">
        <v>1500</v>
      </c>
    </row>
    <row r="72" spans="1:8" x14ac:dyDescent="0.35">
      <c r="C72" s="233" t="s">
        <v>206</v>
      </c>
      <c r="D72" s="243"/>
      <c r="E72" s="251">
        <v>480</v>
      </c>
    </row>
    <row r="73" spans="1:8" x14ac:dyDescent="0.35">
      <c r="C73" s="233" t="s">
        <v>103</v>
      </c>
      <c r="D73" s="243"/>
      <c r="E73" s="251">
        <v>350</v>
      </c>
    </row>
    <row r="74" spans="1:8" x14ac:dyDescent="0.35">
      <c r="A74" s="42">
        <v>90</v>
      </c>
      <c r="C74" s="238" t="s">
        <v>212</v>
      </c>
      <c r="D74" s="246"/>
      <c r="E74" s="252">
        <v>2000</v>
      </c>
      <c r="F74" s="383">
        <v>0.4</v>
      </c>
      <c r="G74" s="383">
        <v>0.4</v>
      </c>
      <c r="H74" s="383">
        <v>0.2</v>
      </c>
    </row>
    <row r="75" spans="1:8" s="2" customFormat="1" x14ac:dyDescent="0.35">
      <c r="A75" s="42">
        <v>91</v>
      </c>
      <c r="B75" s="23" t="s">
        <v>180</v>
      </c>
      <c r="C75" s="23"/>
      <c r="D75" s="23"/>
      <c r="E75" s="23">
        <v>50080</v>
      </c>
      <c r="F75" s="2">
        <v>20032</v>
      </c>
      <c r="G75" s="2">
        <v>20032</v>
      </c>
      <c r="H75" s="2">
        <v>10016</v>
      </c>
    </row>
    <row r="76" spans="1:8" ht="4.5" customHeight="1" x14ac:dyDescent="0.35">
      <c r="A76" s="42">
        <v>92</v>
      </c>
    </row>
    <row r="77" spans="1:8" ht="4.5" customHeight="1" x14ac:dyDescent="0.35"/>
    <row r="78" spans="1:8" x14ac:dyDescent="0.35">
      <c r="A78" s="42">
        <v>93</v>
      </c>
      <c r="B78" s="2" t="s">
        <v>158</v>
      </c>
    </row>
    <row r="79" spans="1:8" x14ac:dyDescent="0.35">
      <c r="A79" s="42">
        <v>94</v>
      </c>
      <c r="C79" s="228" t="s">
        <v>38</v>
      </c>
      <c r="D79" s="240"/>
      <c r="E79" s="259">
        <v>20808</v>
      </c>
      <c r="G79" s="1">
        <v>20808</v>
      </c>
    </row>
    <row r="80" spans="1:8" x14ac:dyDescent="0.35">
      <c r="A80" s="42">
        <v>95</v>
      </c>
      <c r="C80" s="238" t="s">
        <v>40</v>
      </c>
      <c r="D80" s="246"/>
      <c r="E80" s="281">
        <v>800</v>
      </c>
      <c r="G80" s="1">
        <v>800</v>
      </c>
    </row>
    <row r="81" spans="1:7" s="2" customFormat="1" x14ac:dyDescent="0.35">
      <c r="A81" s="42">
        <v>96</v>
      </c>
      <c r="B81" s="23" t="s">
        <v>41</v>
      </c>
      <c r="C81" s="23"/>
      <c r="D81" s="23"/>
      <c r="E81" s="23">
        <v>21608</v>
      </c>
    </row>
    <row r="82" spans="1:7" ht="6" customHeight="1" x14ac:dyDescent="0.35">
      <c r="A82" s="42">
        <v>97</v>
      </c>
    </row>
    <row r="83" spans="1:7" ht="6" customHeight="1" x14ac:dyDescent="0.35">
      <c r="A83" s="42">
        <v>106</v>
      </c>
    </row>
    <row r="84" spans="1:7" x14ac:dyDescent="0.35">
      <c r="A84" s="42">
        <v>107</v>
      </c>
      <c r="B84" s="2" t="s">
        <v>42</v>
      </c>
    </row>
    <row r="85" spans="1:7" x14ac:dyDescent="0.35">
      <c r="A85" s="42">
        <v>108</v>
      </c>
      <c r="C85" s="228" t="s">
        <v>105</v>
      </c>
      <c r="D85" s="240"/>
      <c r="E85" s="259">
        <v>15918</v>
      </c>
      <c r="F85" s="1">
        <v>15918</v>
      </c>
    </row>
    <row r="86" spans="1:7" x14ac:dyDescent="0.35">
      <c r="C86" s="228" t="s">
        <v>218</v>
      </c>
      <c r="D86" s="240"/>
      <c r="E86" s="259">
        <v>3000</v>
      </c>
      <c r="F86" s="1">
        <v>3000</v>
      </c>
    </row>
    <row r="87" spans="1:7" x14ac:dyDescent="0.35">
      <c r="A87" s="42">
        <v>109</v>
      </c>
      <c r="C87" s="233" t="s">
        <v>43</v>
      </c>
      <c r="D87" s="243"/>
      <c r="E87" s="230">
        <v>500</v>
      </c>
      <c r="F87" s="1">
        <v>500</v>
      </c>
    </row>
    <row r="88" spans="1:7" x14ac:dyDescent="0.35">
      <c r="A88" s="42">
        <v>110</v>
      </c>
      <c r="C88" s="233" t="s">
        <v>44</v>
      </c>
      <c r="D88" s="243"/>
      <c r="E88" s="267">
        <v>13290</v>
      </c>
      <c r="F88" s="1">
        <v>13290</v>
      </c>
    </row>
    <row r="89" spans="1:7" x14ac:dyDescent="0.35">
      <c r="A89" s="42">
        <v>110</v>
      </c>
      <c r="C89" s="933" t="s">
        <v>266</v>
      </c>
      <c r="D89" s="933"/>
      <c r="E89" s="267">
        <v>3000</v>
      </c>
      <c r="F89" s="1">
        <v>3000</v>
      </c>
    </row>
    <row r="90" spans="1:7" x14ac:dyDescent="0.35">
      <c r="C90" s="233" t="s">
        <v>261</v>
      </c>
      <c r="D90" s="243"/>
      <c r="E90" s="267">
        <v>3350</v>
      </c>
      <c r="F90" s="1">
        <v>3350</v>
      </c>
    </row>
    <row r="91" spans="1:7" x14ac:dyDescent="0.35">
      <c r="A91" s="42">
        <v>111</v>
      </c>
      <c r="C91" s="233" t="s">
        <v>45</v>
      </c>
      <c r="D91" s="243"/>
      <c r="E91" s="267">
        <v>7484</v>
      </c>
      <c r="F91" s="1">
        <v>7484</v>
      </c>
    </row>
    <row r="92" spans="1:7" x14ac:dyDescent="0.35">
      <c r="A92" s="42">
        <v>112</v>
      </c>
      <c r="C92" s="233" t="s">
        <v>46</v>
      </c>
      <c r="D92" s="243"/>
      <c r="E92" s="267">
        <v>1785</v>
      </c>
      <c r="G92" s="1">
        <v>1785</v>
      </c>
    </row>
    <row r="93" spans="1:7" x14ac:dyDescent="0.35">
      <c r="C93" s="233" t="s">
        <v>102</v>
      </c>
      <c r="D93" s="243"/>
      <c r="E93" s="251">
        <v>0</v>
      </c>
      <c r="G93" s="1">
        <v>0</v>
      </c>
    </row>
    <row r="94" spans="1:7" x14ac:dyDescent="0.35">
      <c r="A94" s="42">
        <v>113</v>
      </c>
      <c r="C94" s="238" t="s">
        <v>106</v>
      </c>
      <c r="D94" s="246"/>
      <c r="E94" s="281">
        <v>2759</v>
      </c>
      <c r="F94" s="1">
        <v>2759</v>
      </c>
    </row>
    <row r="95" spans="1:7" s="2" customFormat="1" x14ac:dyDescent="0.35">
      <c r="A95" s="42">
        <v>114</v>
      </c>
      <c r="B95" s="23" t="s">
        <v>47</v>
      </c>
      <c r="C95" s="23"/>
      <c r="D95" s="23"/>
      <c r="E95" s="23">
        <v>51086</v>
      </c>
    </row>
    <row r="96" spans="1:7" ht="6.75" customHeight="1" x14ac:dyDescent="0.35">
      <c r="A96" s="42">
        <v>115</v>
      </c>
    </row>
    <row r="97" spans="1:9" ht="14.25" customHeight="1" x14ac:dyDescent="0.35">
      <c r="A97" s="42">
        <v>116</v>
      </c>
      <c r="B97" s="2" t="s">
        <v>48</v>
      </c>
      <c r="E97" s="25"/>
      <c r="F97" s="383">
        <v>0.33300000000000002</v>
      </c>
      <c r="G97" s="383">
        <v>0.33300000000000002</v>
      </c>
      <c r="H97" s="383">
        <v>0.33400000000000002</v>
      </c>
    </row>
    <row r="98" spans="1:9" x14ac:dyDescent="0.35">
      <c r="C98" s="233" t="s">
        <v>175</v>
      </c>
      <c r="D98" s="243"/>
      <c r="E98" s="259">
        <v>35360</v>
      </c>
      <c r="F98" s="1">
        <v>11774.880000000001</v>
      </c>
      <c r="G98" s="1">
        <v>11774.880000000001</v>
      </c>
      <c r="H98" s="1">
        <v>11810.24</v>
      </c>
    </row>
    <row r="99" spans="1:9" x14ac:dyDescent="0.35">
      <c r="A99" s="42">
        <v>122</v>
      </c>
      <c r="C99" s="233" t="s">
        <v>177</v>
      </c>
      <c r="D99" s="243"/>
      <c r="E99" s="251">
        <v>1000</v>
      </c>
      <c r="F99" s="1">
        <v>333</v>
      </c>
      <c r="G99" s="1">
        <v>333</v>
      </c>
      <c r="H99" s="1">
        <v>334</v>
      </c>
    </row>
    <row r="100" spans="1:9" x14ac:dyDescent="0.35">
      <c r="A100" s="42">
        <v>118</v>
      </c>
      <c r="C100" s="233" t="s">
        <v>50</v>
      </c>
      <c r="D100" s="243"/>
      <c r="E100" s="267">
        <v>33465</v>
      </c>
      <c r="I100" s="1">
        <v>33465</v>
      </c>
    </row>
    <row r="101" spans="1:9" x14ac:dyDescent="0.35">
      <c r="A101" s="42">
        <v>119</v>
      </c>
      <c r="C101" s="233" t="s">
        <v>51</v>
      </c>
      <c r="D101" s="243"/>
      <c r="E101" s="251">
        <v>400</v>
      </c>
      <c r="F101" s="1">
        <v>133.20000000000002</v>
      </c>
      <c r="G101" s="1">
        <v>133.20000000000002</v>
      </c>
      <c r="H101" s="1">
        <v>133.6</v>
      </c>
    </row>
    <row r="102" spans="1:9" x14ac:dyDescent="0.35">
      <c r="A102" s="42">
        <v>120</v>
      </c>
      <c r="C102" s="233" t="s">
        <v>95</v>
      </c>
      <c r="D102" s="243"/>
      <c r="E102" s="251">
        <v>700</v>
      </c>
      <c r="F102" s="1">
        <v>233.10000000000002</v>
      </c>
      <c r="G102" s="1">
        <v>233.10000000000002</v>
      </c>
      <c r="H102" s="1">
        <v>233.8</v>
      </c>
    </row>
    <row r="103" spans="1:9" ht="14" customHeight="1" x14ac:dyDescent="0.35">
      <c r="C103" s="233" t="s">
        <v>111</v>
      </c>
      <c r="D103" s="243"/>
      <c r="E103" s="267">
        <v>925</v>
      </c>
      <c r="F103" s="1">
        <v>925</v>
      </c>
    </row>
    <row r="104" spans="1:9" x14ac:dyDescent="0.35">
      <c r="C104" s="933" t="s">
        <v>176</v>
      </c>
      <c r="D104" s="933"/>
      <c r="E104" s="295">
        <v>11138</v>
      </c>
      <c r="F104" s="1">
        <v>3708.9540000000002</v>
      </c>
      <c r="G104" s="1">
        <v>3708.9540000000002</v>
      </c>
      <c r="H104" s="1">
        <v>3720.0920000000001</v>
      </c>
    </row>
    <row r="105" spans="1:9" ht="14.5" customHeight="1" x14ac:dyDescent="0.35">
      <c r="A105" s="42">
        <v>123</v>
      </c>
      <c r="C105" s="233" t="s">
        <v>52</v>
      </c>
      <c r="D105" s="243"/>
      <c r="E105" s="267">
        <v>14502</v>
      </c>
      <c r="F105" s="1">
        <v>4829.1660000000002</v>
      </c>
      <c r="G105" s="1">
        <v>4829.1660000000002</v>
      </c>
      <c r="H105" s="1">
        <v>4843.6680000000006</v>
      </c>
    </row>
    <row r="106" spans="1:9" ht="14.4" customHeight="1" x14ac:dyDescent="0.35">
      <c r="A106" s="42">
        <v>124</v>
      </c>
      <c r="C106" s="233" t="s">
        <v>53</v>
      </c>
      <c r="D106" s="243"/>
      <c r="E106" s="251">
        <v>3384</v>
      </c>
      <c r="F106" s="1">
        <v>1126.8720000000001</v>
      </c>
      <c r="G106" s="1">
        <v>1126.8720000000001</v>
      </c>
      <c r="H106" s="1">
        <v>1130.2560000000001</v>
      </c>
    </row>
    <row r="107" spans="1:9" x14ac:dyDescent="0.35">
      <c r="A107" s="42">
        <v>125</v>
      </c>
      <c r="C107" s="233" t="s">
        <v>54</v>
      </c>
      <c r="D107" s="243"/>
      <c r="E107" s="53">
        <v>2000</v>
      </c>
      <c r="F107" s="1">
        <v>2000</v>
      </c>
    </row>
    <row r="108" spans="1:9" s="2" customFormat="1" x14ac:dyDescent="0.35">
      <c r="A108" s="42">
        <v>127</v>
      </c>
      <c r="B108" s="23" t="s">
        <v>49</v>
      </c>
      <c r="C108" s="23"/>
      <c r="D108" s="23"/>
      <c r="E108" s="23">
        <v>102874</v>
      </c>
    </row>
    <row r="109" spans="1:9" x14ac:dyDescent="0.35">
      <c r="A109" s="42">
        <v>128</v>
      </c>
      <c r="B109" s="23" t="s">
        <v>55</v>
      </c>
      <c r="C109" s="23"/>
      <c r="D109" s="23"/>
      <c r="E109" s="23">
        <v>326301.38049999997</v>
      </c>
    </row>
    <row r="110" spans="1:9" ht="8.25" customHeight="1" x14ac:dyDescent="0.35">
      <c r="A110" s="42">
        <v>129</v>
      </c>
    </row>
    <row r="111" spans="1:9" ht="18.5" x14ac:dyDescent="0.35">
      <c r="A111" s="42">
        <v>130</v>
      </c>
      <c r="B111" s="6" t="s">
        <v>56</v>
      </c>
    </row>
    <row r="112" spans="1:9" x14ac:dyDescent="0.35">
      <c r="A112" s="42">
        <v>131</v>
      </c>
      <c r="B112" s="2" t="s">
        <v>57</v>
      </c>
    </row>
    <row r="113" spans="1:9" ht="14.4" customHeight="1" x14ac:dyDescent="0.35">
      <c r="A113" s="42">
        <v>132</v>
      </c>
      <c r="C113" s="233" t="s">
        <v>59</v>
      </c>
      <c r="D113" s="243"/>
      <c r="E113" s="253">
        <v>10500</v>
      </c>
      <c r="I113" s="1">
        <v>10500</v>
      </c>
    </row>
    <row r="114" spans="1:9" ht="14.4" customHeight="1" x14ac:dyDescent="0.35">
      <c r="A114" s="42">
        <v>133</v>
      </c>
      <c r="C114" s="233" t="s">
        <v>60</v>
      </c>
      <c r="D114" s="243"/>
      <c r="E114" s="251">
        <v>8160</v>
      </c>
      <c r="I114" s="1">
        <v>8160</v>
      </c>
    </row>
    <row r="115" spans="1:9" x14ac:dyDescent="0.35">
      <c r="A115" s="42">
        <v>134</v>
      </c>
      <c r="C115" s="233" t="s">
        <v>61</v>
      </c>
      <c r="D115" s="243"/>
      <c r="E115" s="230">
        <v>4500</v>
      </c>
      <c r="I115" s="1">
        <v>4500</v>
      </c>
    </row>
    <row r="116" spans="1:9" ht="14.4" customHeight="1" x14ac:dyDescent="0.35">
      <c r="A116" s="42">
        <v>135</v>
      </c>
      <c r="C116" s="233" t="s">
        <v>62</v>
      </c>
      <c r="D116" s="243"/>
      <c r="E116" s="230">
        <v>816</v>
      </c>
      <c r="I116" s="1">
        <v>816</v>
      </c>
    </row>
    <row r="117" spans="1:9" ht="14.4" customHeight="1" x14ac:dyDescent="0.35">
      <c r="A117" s="42">
        <v>136</v>
      </c>
      <c r="C117" s="233" t="s">
        <v>63</v>
      </c>
      <c r="D117" s="243"/>
      <c r="E117" s="251">
        <v>300</v>
      </c>
      <c r="I117" s="1">
        <v>300</v>
      </c>
    </row>
    <row r="118" spans="1:9" ht="14.4" customHeight="1" x14ac:dyDescent="0.35">
      <c r="A118" s="42">
        <v>137</v>
      </c>
      <c r="C118" s="233" t="s">
        <v>64</v>
      </c>
      <c r="D118" s="243"/>
      <c r="E118" s="251">
        <v>600</v>
      </c>
      <c r="I118" s="1">
        <v>600</v>
      </c>
    </row>
    <row r="119" spans="1:9" ht="14.4" customHeight="1" x14ac:dyDescent="0.35">
      <c r="A119" s="42">
        <v>138</v>
      </c>
      <c r="C119" s="233" t="s">
        <v>100</v>
      </c>
      <c r="D119" s="243"/>
      <c r="E119" s="235">
        <v>4500</v>
      </c>
      <c r="I119" s="1">
        <v>4500</v>
      </c>
    </row>
    <row r="120" spans="1:9" s="2" customFormat="1" x14ac:dyDescent="0.35">
      <c r="A120" s="42">
        <v>139</v>
      </c>
      <c r="B120" s="26" t="s">
        <v>65</v>
      </c>
      <c r="C120" s="26"/>
      <c r="D120" s="26"/>
      <c r="E120" s="26">
        <v>29376</v>
      </c>
    </row>
    <row r="121" spans="1:9" s="2" customFormat="1" ht="6.75" customHeight="1" x14ac:dyDescent="0.35">
      <c r="A121" s="42">
        <v>140</v>
      </c>
      <c r="B121" s="14"/>
      <c r="C121" s="14"/>
      <c r="D121" s="14"/>
      <c r="E121" s="14"/>
    </row>
    <row r="122" spans="1:9" x14ac:dyDescent="0.35">
      <c r="A122" s="42">
        <v>141</v>
      </c>
      <c r="B122" s="2" t="s">
        <v>66</v>
      </c>
    </row>
    <row r="123" spans="1:9" x14ac:dyDescent="0.35">
      <c r="A123" s="42">
        <v>142</v>
      </c>
      <c r="C123" s="228" t="s">
        <v>67</v>
      </c>
      <c r="D123" s="240"/>
      <c r="E123" s="253">
        <v>16899.940000000002</v>
      </c>
      <c r="I123" s="1">
        <v>16899.940000000002</v>
      </c>
    </row>
    <row r="124" spans="1:9" x14ac:dyDescent="0.35">
      <c r="A124" s="42">
        <v>143</v>
      </c>
      <c r="C124" s="233" t="s">
        <v>68</v>
      </c>
      <c r="D124" s="243"/>
      <c r="E124" s="230">
        <v>4500</v>
      </c>
      <c r="I124" s="1">
        <v>4500</v>
      </c>
    </row>
    <row r="125" spans="1:9" x14ac:dyDescent="0.35">
      <c r="A125" s="42">
        <v>144</v>
      </c>
      <c r="C125" s="233" t="s">
        <v>93</v>
      </c>
      <c r="D125" s="243"/>
      <c r="E125" s="230">
        <v>4000</v>
      </c>
      <c r="I125" s="1">
        <v>4000</v>
      </c>
    </row>
    <row r="126" spans="1:9" x14ac:dyDescent="0.35">
      <c r="A126" s="42">
        <v>145</v>
      </c>
      <c r="C126" s="933" t="s">
        <v>96</v>
      </c>
      <c r="D126" s="933"/>
      <c r="E126" s="251">
        <v>8000</v>
      </c>
      <c r="I126" s="1">
        <v>8000</v>
      </c>
    </row>
    <row r="127" spans="1:9" x14ac:dyDescent="0.35">
      <c r="A127" s="42">
        <v>146</v>
      </c>
      <c r="C127" s="238" t="s">
        <v>69</v>
      </c>
      <c r="D127" s="246"/>
      <c r="E127" s="235">
        <v>8000</v>
      </c>
      <c r="I127" s="1">
        <v>8000</v>
      </c>
    </row>
    <row r="128" spans="1:9" s="2" customFormat="1" x14ac:dyDescent="0.35">
      <c r="A128" s="42">
        <v>150</v>
      </c>
      <c r="B128" s="26" t="s">
        <v>71</v>
      </c>
      <c r="C128" s="26"/>
      <c r="D128" s="26"/>
      <c r="E128" s="26">
        <v>41399.94</v>
      </c>
    </row>
    <row r="129" spans="1:9" x14ac:dyDescent="0.35">
      <c r="A129" s="42">
        <v>151</v>
      </c>
      <c r="B129" s="26" t="s">
        <v>72</v>
      </c>
      <c r="C129" s="26"/>
      <c r="D129" s="26"/>
      <c r="E129" s="26">
        <v>70775.94</v>
      </c>
    </row>
    <row r="130" spans="1:9" ht="4.5" customHeight="1" x14ac:dyDescent="0.35">
      <c r="A130" s="42">
        <v>152</v>
      </c>
    </row>
    <row r="131" spans="1:9" ht="18.5" x14ac:dyDescent="0.35">
      <c r="A131" s="42">
        <v>153</v>
      </c>
      <c r="B131" s="6" t="s">
        <v>73</v>
      </c>
    </row>
    <row r="132" spans="1:9" x14ac:dyDescent="0.35">
      <c r="A132" s="42">
        <v>154</v>
      </c>
      <c r="B132" s="2" t="s">
        <v>74</v>
      </c>
    </row>
    <row r="133" spans="1:9" x14ac:dyDescent="0.35">
      <c r="A133" s="42">
        <v>156</v>
      </c>
      <c r="C133" s="233" t="s">
        <v>144</v>
      </c>
      <c r="D133" s="243"/>
      <c r="E133" s="251">
        <v>12000</v>
      </c>
    </row>
    <row r="134" spans="1:9" x14ac:dyDescent="0.35">
      <c r="A134" s="42">
        <v>157</v>
      </c>
      <c r="C134" s="233" t="s">
        <v>149</v>
      </c>
      <c r="D134" s="243"/>
      <c r="E134" s="251">
        <v>521</v>
      </c>
    </row>
    <row r="135" spans="1:9" s="2" customFormat="1" x14ac:dyDescent="0.35">
      <c r="A135" s="42">
        <v>159</v>
      </c>
      <c r="B135" s="28" t="s">
        <v>77</v>
      </c>
      <c r="C135" s="28"/>
      <c r="D135" s="28"/>
      <c r="E135" s="28">
        <v>12521</v>
      </c>
    </row>
    <row r="136" spans="1:9" ht="7.5" customHeight="1" x14ac:dyDescent="0.35">
      <c r="A136" s="42">
        <v>160</v>
      </c>
      <c r="D136" s="1"/>
    </row>
    <row r="137" spans="1:9" x14ac:dyDescent="0.35">
      <c r="A137" s="42">
        <v>161</v>
      </c>
      <c r="B137" s="30" t="s">
        <v>78</v>
      </c>
      <c r="C137" s="31"/>
      <c r="D137" s="31"/>
      <c r="E137" s="30">
        <v>513453.32049999997</v>
      </c>
    </row>
    <row r="138" spans="1:9" x14ac:dyDescent="0.35">
      <c r="A138" s="42">
        <v>162</v>
      </c>
      <c r="B138" s="30" t="s">
        <v>79</v>
      </c>
      <c r="C138" s="31"/>
      <c r="D138" s="31"/>
      <c r="E138" s="30">
        <v>-153</v>
      </c>
    </row>
    <row r="139" spans="1:9" ht="15" thickBot="1" x14ac:dyDescent="0.4"/>
    <row r="140" spans="1:9" x14ac:dyDescent="0.35">
      <c r="B140" s="101" t="s">
        <v>159</v>
      </c>
      <c r="C140" s="102"/>
      <c r="D140" s="102"/>
      <c r="E140" s="104">
        <v>513300</v>
      </c>
    </row>
    <row r="141" spans="1:9" x14ac:dyDescent="0.35">
      <c r="B141" s="108" t="s">
        <v>151</v>
      </c>
      <c r="C141" s="96"/>
      <c r="D141" s="96"/>
      <c r="E141" s="98">
        <v>500932.32049999997</v>
      </c>
      <c r="F141" s="388">
        <v>164734.65720000005</v>
      </c>
      <c r="G141" s="388">
        <v>103945.78110000001</v>
      </c>
      <c r="H141" s="388">
        <v>128013.94220000002</v>
      </c>
      <c r="I141" s="388">
        <v>104240.94</v>
      </c>
    </row>
    <row r="142" spans="1:9" ht="15" thickBot="1" x14ac:dyDescent="0.4">
      <c r="B142" s="110" t="s">
        <v>160</v>
      </c>
      <c r="C142" s="111"/>
      <c r="D142" s="111"/>
      <c r="E142" s="114">
        <v>12367.679500000027</v>
      </c>
    </row>
    <row r="146" spans="1:4" x14ac:dyDescent="0.35">
      <c r="D146" s="72"/>
    </row>
    <row r="148" spans="1:4" x14ac:dyDescent="0.35">
      <c r="A148" s="1"/>
      <c r="B148" s="1"/>
    </row>
    <row r="149" spans="1:4" x14ac:dyDescent="0.35">
      <c r="A149" s="1"/>
      <c r="B149" s="1"/>
    </row>
    <row r="150" spans="1:4" x14ac:dyDescent="0.35">
      <c r="A150" s="1"/>
      <c r="B150" s="1"/>
    </row>
    <row r="151" spans="1:4" x14ac:dyDescent="0.35">
      <c r="A151" s="1"/>
      <c r="B151" s="1"/>
    </row>
    <row r="152" spans="1:4" x14ac:dyDescent="0.35">
      <c r="A152" s="1"/>
      <c r="B152" s="1"/>
    </row>
    <row r="153" spans="1:4" x14ac:dyDescent="0.35">
      <c r="A153" s="1"/>
      <c r="B153" s="1"/>
    </row>
    <row r="154" spans="1:4" x14ac:dyDescent="0.35">
      <c r="A154" s="1"/>
      <c r="B154" s="1"/>
    </row>
    <row r="155" spans="1:4" x14ac:dyDescent="0.35">
      <c r="A155" s="1"/>
      <c r="B155" s="1"/>
    </row>
    <row r="156" spans="1:4" x14ac:dyDescent="0.35">
      <c r="A156" s="1"/>
      <c r="B156" s="1"/>
    </row>
    <row r="157" spans="1:4" x14ac:dyDescent="0.35">
      <c r="A157" s="1"/>
      <c r="B157" s="1"/>
    </row>
    <row r="158" spans="1:4" x14ac:dyDescent="0.35">
      <c r="A158" s="1"/>
      <c r="B158" s="1"/>
    </row>
    <row r="159" spans="1:4" x14ac:dyDescent="0.35">
      <c r="A159" s="1"/>
      <c r="B159" s="1"/>
    </row>
    <row r="160" spans="1:4" x14ac:dyDescent="0.35">
      <c r="A160" s="1"/>
      <c r="B160" s="1"/>
    </row>
    <row r="161" spans="1:2" x14ac:dyDescent="0.35">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election activeCell="D10" sqref="D10"/>
    </sheetView>
  </sheetViews>
  <sheetFormatPr defaultRowHeight="14.5" x14ac:dyDescent="0.35"/>
  <cols>
    <col min="2" max="2" width="31.36328125" customWidth="1"/>
    <col min="6" max="6" width="10.453125" customWidth="1"/>
  </cols>
  <sheetData>
    <row r="1" spans="1:9" ht="23.5" x14ac:dyDescent="0.55000000000000004">
      <c r="A1" s="1077" t="s">
        <v>83</v>
      </c>
      <c r="B1" s="1077"/>
      <c r="C1" s="1077"/>
      <c r="D1" s="1077"/>
      <c r="E1" s="1077"/>
      <c r="F1" s="1077"/>
      <c r="G1" s="1077"/>
    </row>
    <row r="4" spans="1:9" ht="29.5" customHeight="1" x14ac:dyDescent="0.35">
      <c r="C4" s="950" t="str">
        <f>Bud_Yr&amp;" Budget"</f>
        <v>2022 Budget</v>
      </c>
      <c r="D4" s="951" t="s">
        <v>407</v>
      </c>
      <c r="E4" s="951" t="str">
        <f>Bud_Yr-1&amp;" Budget"</f>
        <v>2021 Budget</v>
      </c>
      <c r="F4" s="944" t="str">
        <f>Bud_Yr&amp;" Budget vs             "&amp;Bud_Yr-1&amp;" Budget"</f>
        <v>2022 Budget vs             2021 Budget</v>
      </c>
      <c r="G4" s="945"/>
    </row>
    <row r="5" spans="1:9" x14ac:dyDescent="0.35">
      <c r="C5" s="1075"/>
      <c r="D5" s="938"/>
      <c r="E5" s="1076"/>
      <c r="F5" s="543" t="s">
        <v>108</v>
      </c>
      <c r="G5" s="544" t="s">
        <v>109</v>
      </c>
    </row>
    <row r="6" spans="1:9" x14ac:dyDescent="0.35">
      <c r="B6" s="545" t="s">
        <v>322</v>
      </c>
      <c r="C6" s="696">
        <f>+'New Year-Full Year'!P23</f>
        <v>21000</v>
      </c>
      <c r="D6" s="696">
        <f>+E6+1500</f>
        <v>30290</v>
      </c>
      <c r="E6" s="696">
        <f>+'New Year-Full Year'!Q23</f>
        <v>28790</v>
      </c>
      <c r="F6" s="546">
        <f t="shared" ref="F6" si="0">+C6-E6</f>
        <v>-7790</v>
      </c>
      <c r="G6" s="547">
        <f t="shared" ref="G6" si="1">IF(E6=0,"NA",(+C6-E6)/E6)</f>
        <v>-0.27058006252170891</v>
      </c>
      <c r="I6" s="577"/>
    </row>
    <row r="7" spans="1:9" x14ac:dyDescent="0.35">
      <c r="B7" s="548" t="s">
        <v>323</v>
      </c>
      <c r="C7" s="267">
        <f>+'New Year-Full Year'!P24</f>
        <v>0</v>
      </c>
      <c r="D7" s="267">
        <f>+E7</f>
        <v>3000</v>
      </c>
      <c r="E7" s="267">
        <f>+'New Year-Full Year'!Q24</f>
        <v>3000</v>
      </c>
      <c r="F7" s="231">
        <f t="shared" ref="F7" si="2">+C7-E7</f>
        <v>-3000</v>
      </c>
      <c r="G7" s="549">
        <f t="shared" ref="G7" si="3">IF(E7=0,"NA",(+C7-E7)/E7)</f>
        <v>-1</v>
      </c>
    </row>
    <row r="8" spans="1:9" x14ac:dyDescent="0.35">
      <c r="B8" s="548" t="s">
        <v>324</v>
      </c>
      <c r="C8" s="267">
        <f>+'New Year-Full Year'!P25</f>
        <v>500</v>
      </c>
      <c r="D8" s="267">
        <f>+E8+1000</f>
        <v>2000</v>
      </c>
      <c r="E8" s="267">
        <f>+'New Year-Full Year'!Q25</f>
        <v>1000</v>
      </c>
      <c r="F8" s="231">
        <f t="shared" ref="F8:F14" si="4">+C8-E8</f>
        <v>-500</v>
      </c>
      <c r="G8" s="549">
        <f t="shared" ref="G8:G14" si="5">IF(E8=0,"NA",(+C8-E8)/E8)</f>
        <v>-0.5</v>
      </c>
    </row>
    <row r="9" spans="1:9" x14ac:dyDescent="0.35">
      <c r="B9" s="548" t="s">
        <v>331</v>
      </c>
      <c r="C9" s="267">
        <f>+'New Year-Full Year'!P26</f>
        <v>1500</v>
      </c>
      <c r="D9" s="267">
        <f>+E9+1000</f>
        <v>3000</v>
      </c>
      <c r="E9" s="267">
        <f>+'New Year-Full Year'!Q26</f>
        <v>2000</v>
      </c>
      <c r="F9" s="231">
        <f t="shared" si="4"/>
        <v>-500</v>
      </c>
      <c r="G9" s="549">
        <f t="shared" si="5"/>
        <v>-0.25</v>
      </c>
    </row>
    <row r="10" spans="1:9" x14ac:dyDescent="0.35">
      <c r="B10" s="548" t="s">
        <v>325</v>
      </c>
      <c r="C10" s="267">
        <f>+'New Year-Full Year'!P27</f>
        <v>750</v>
      </c>
      <c r="D10" s="267">
        <f>+E10</f>
        <v>750</v>
      </c>
      <c r="E10" s="267">
        <f>+'New Year-Full Year'!Q27</f>
        <v>750</v>
      </c>
      <c r="F10" s="231">
        <f t="shared" si="4"/>
        <v>0</v>
      </c>
      <c r="G10" s="549">
        <f t="shared" si="5"/>
        <v>0</v>
      </c>
    </row>
    <row r="11" spans="1:9" x14ac:dyDescent="0.35">
      <c r="B11" s="548" t="s">
        <v>326</v>
      </c>
      <c r="C11" s="267">
        <f>+'New Year-Full Year'!P28</f>
        <v>1000</v>
      </c>
      <c r="D11" s="267">
        <f>+E11+1000</f>
        <v>2000</v>
      </c>
      <c r="E11" s="267">
        <f>+'New Year-Full Year'!Q28</f>
        <v>1000</v>
      </c>
      <c r="F11" s="231">
        <f t="shared" si="4"/>
        <v>0</v>
      </c>
      <c r="G11" s="549">
        <f t="shared" si="5"/>
        <v>0</v>
      </c>
    </row>
    <row r="12" spans="1:9" x14ac:dyDescent="0.35">
      <c r="B12" s="548" t="s">
        <v>327</v>
      </c>
      <c r="C12" s="267">
        <f>+'New Year-Full Year'!P29</f>
        <v>1000</v>
      </c>
      <c r="D12" s="267">
        <f>+E12+500</f>
        <v>2000</v>
      </c>
      <c r="E12" s="267">
        <f>+'New Year-Full Year'!Q29</f>
        <v>1500</v>
      </c>
      <c r="F12" s="231">
        <f t="shared" si="4"/>
        <v>-500</v>
      </c>
      <c r="G12" s="549">
        <f t="shared" si="5"/>
        <v>-0.33333333333333331</v>
      </c>
    </row>
    <row r="13" spans="1:9" x14ac:dyDescent="0.35">
      <c r="B13" s="548" t="s">
        <v>328</v>
      </c>
      <c r="C13" s="267">
        <f>+'New Year-Full Year'!P30</f>
        <v>1000</v>
      </c>
      <c r="D13" s="267">
        <f>+E13+1000</f>
        <v>2500</v>
      </c>
      <c r="E13" s="267">
        <f>+'New Year-Full Year'!Q30</f>
        <v>1500</v>
      </c>
      <c r="F13" s="231">
        <f t="shared" si="4"/>
        <v>-500</v>
      </c>
      <c r="G13" s="549">
        <f t="shared" si="5"/>
        <v>-0.33333333333333331</v>
      </c>
    </row>
    <row r="14" spans="1:9" x14ac:dyDescent="0.35">
      <c r="B14" s="548" t="s">
        <v>329</v>
      </c>
      <c r="C14" s="267">
        <f>+'New Year-Full Year'!P31</f>
        <v>1000</v>
      </c>
      <c r="D14" s="267">
        <f>+E14+500</f>
        <v>1000</v>
      </c>
      <c r="E14" s="267">
        <f>+'New Year-Full Year'!Q31</f>
        <v>500</v>
      </c>
      <c r="F14" s="231">
        <f t="shared" si="4"/>
        <v>500</v>
      </c>
      <c r="G14" s="549">
        <f t="shared" si="5"/>
        <v>1</v>
      </c>
    </row>
    <row r="15" spans="1:9" x14ac:dyDescent="0.35">
      <c r="B15" s="550" t="s">
        <v>162</v>
      </c>
      <c r="C15" s="699">
        <f>+SUM(C6:C14)</f>
        <v>27750</v>
      </c>
      <c r="D15" s="699">
        <f>+SUM(D6:D14)</f>
        <v>46540</v>
      </c>
      <c r="E15" s="699">
        <f>+SUM(E6:E14)</f>
        <v>40040</v>
      </c>
      <c r="F15" s="551">
        <f>+SUM(F6:F14)</f>
        <v>-12290</v>
      </c>
      <c r="G15" s="552"/>
    </row>
  </sheetData>
  <mergeCells count="5">
    <mergeCell ref="C4:C5"/>
    <mergeCell ref="E4:E5"/>
    <mergeCell ref="F4:G4"/>
    <mergeCell ref="A1:G1"/>
    <mergeCell ref="D4:D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14"/>
  <sheetViews>
    <sheetView showGridLines="0" workbookViewId="0">
      <selection activeCell="M5" sqref="M5"/>
    </sheetView>
  </sheetViews>
  <sheetFormatPr defaultRowHeight="21" x14ac:dyDescent="0.5"/>
  <cols>
    <col min="1" max="1" width="4.36328125" style="648" customWidth="1"/>
    <col min="2" max="2" width="39.6328125" style="648" customWidth="1"/>
    <col min="3" max="3" width="15" style="648" hidden="1" customWidth="1"/>
    <col min="4" max="4" width="1.453125" style="675" customWidth="1"/>
    <col min="5" max="6" width="16" style="648" customWidth="1"/>
    <col min="7" max="7" width="1.453125" style="648" customWidth="1"/>
    <col min="8" max="8" width="16.08984375" style="648" customWidth="1"/>
    <col min="9" max="9" width="1.453125" style="648" customWidth="1"/>
    <col min="10" max="10" width="16.08984375" style="648" customWidth="1"/>
    <col min="11" max="16384" width="8.7265625" style="648"/>
  </cols>
  <sheetData>
    <row r="1" spans="1:11" ht="26" x14ac:dyDescent="0.6">
      <c r="B1" s="1080" t="s">
        <v>83</v>
      </c>
      <c r="C1" s="1080"/>
      <c r="D1" s="1080"/>
      <c r="E1" s="1080"/>
      <c r="F1" s="1080"/>
      <c r="G1" s="1080"/>
      <c r="H1" s="1080"/>
      <c r="I1" s="1080"/>
      <c r="J1" s="1080"/>
    </row>
    <row r="2" spans="1:11" x14ac:dyDescent="0.5">
      <c r="D2" s="677"/>
    </row>
    <row r="3" spans="1:11" x14ac:dyDescent="0.5">
      <c r="D3" s="679"/>
      <c r="E3" s="1078">
        <v>2020</v>
      </c>
      <c r="F3" s="1079"/>
      <c r="G3" s="686"/>
      <c r="H3" s="666">
        <v>2021</v>
      </c>
      <c r="I3" s="690"/>
      <c r="J3" s="680"/>
    </row>
    <row r="4" spans="1:11" ht="53" customHeight="1" x14ac:dyDescent="0.5">
      <c r="B4" s="660"/>
      <c r="C4" s="655" t="s">
        <v>404</v>
      </c>
      <c r="D4" s="682"/>
      <c r="E4" s="655" t="s">
        <v>387</v>
      </c>
      <c r="F4" s="655" t="s">
        <v>401</v>
      </c>
      <c r="G4" s="687"/>
      <c r="H4" s="655" t="s">
        <v>402</v>
      </c>
      <c r="I4" s="691"/>
      <c r="J4" s="655" t="s">
        <v>403</v>
      </c>
      <c r="K4" s="660"/>
    </row>
    <row r="5" spans="1:11" x14ac:dyDescent="0.5">
      <c r="B5" s="660" t="s">
        <v>396</v>
      </c>
      <c r="C5" s="676"/>
      <c r="D5" s="672"/>
      <c r="E5" s="653">
        <v>56200</v>
      </c>
      <c r="F5" s="653">
        <f>+'Summary New Year'!J112</f>
        <v>106200.32000000001</v>
      </c>
      <c r="G5" s="658"/>
      <c r="H5" s="653">
        <f>+'New Year-Full Year'!P172</f>
        <v>-23257</v>
      </c>
      <c r="I5" s="669"/>
      <c r="J5" s="671"/>
      <c r="K5" s="660"/>
    </row>
    <row r="6" spans="1:11" x14ac:dyDescent="0.5">
      <c r="B6" s="660" t="s">
        <v>395</v>
      </c>
      <c r="C6" s="677"/>
      <c r="D6" s="672"/>
      <c r="E6" s="651">
        <v>5000</v>
      </c>
      <c r="F6" s="651"/>
      <c r="G6" s="658"/>
      <c r="H6" s="670"/>
      <c r="I6" s="669"/>
      <c r="J6" s="672"/>
      <c r="K6" s="660"/>
    </row>
    <row r="7" spans="1:11" x14ac:dyDescent="0.5">
      <c r="B7" s="681" t="s">
        <v>398</v>
      </c>
      <c r="C7" s="678"/>
      <c r="D7" s="673"/>
      <c r="E7" s="656">
        <f>+E5-E6</f>
        <v>51200</v>
      </c>
      <c r="F7" s="656">
        <f>+F5-F6</f>
        <v>106200.32000000001</v>
      </c>
      <c r="G7" s="668"/>
      <c r="H7" s="656">
        <f>+H5-H6</f>
        <v>-23257</v>
      </c>
      <c r="I7" s="673"/>
      <c r="J7" s="673"/>
      <c r="K7" s="660"/>
    </row>
    <row r="8" spans="1:11" x14ac:dyDescent="0.5">
      <c r="B8" s="660"/>
      <c r="D8" s="677"/>
      <c r="G8" s="660"/>
      <c r="I8" s="660"/>
      <c r="K8" s="660"/>
    </row>
    <row r="9" spans="1:11" x14ac:dyDescent="0.5">
      <c r="B9" s="681" t="s">
        <v>388</v>
      </c>
      <c r="D9" s="677"/>
      <c r="G9" s="660"/>
      <c r="I9" s="660"/>
      <c r="K9" s="660"/>
    </row>
    <row r="10" spans="1:11" x14ac:dyDescent="0.5">
      <c r="A10" s="649" t="s">
        <v>389</v>
      </c>
      <c r="B10" s="660" t="s">
        <v>400</v>
      </c>
      <c r="C10" s="653">
        <v>13765.63</v>
      </c>
      <c r="D10" s="683"/>
      <c r="E10" s="652"/>
      <c r="F10" s="657">
        <v>20000</v>
      </c>
      <c r="G10" s="667"/>
      <c r="H10" s="653"/>
      <c r="I10" s="672"/>
      <c r="J10" s="693">
        <f>SUM(C10:H10)</f>
        <v>33765.629999999997</v>
      </c>
      <c r="K10" s="660"/>
    </row>
    <row r="11" spans="1:11" x14ac:dyDescent="0.5">
      <c r="A11" s="649" t="s">
        <v>390</v>
      </c>
      <c r="B11" s="660" t="s">
        <v>393</v>
      </c>
      <c r="C11" s="670">
        <v>29502.66</v>
      </c>
      <c r="D11" s="683"/>
      <c r="E11" s="663">
        <f>+$E$7/2</f>
        <v>25600</v>
      </c>
      <c r="F11" s="659">
        <v>10000</v>
      </c>
      <c r="G11" s="667"/>
      <c r="H11" s="670">
        <f>+'New Year-Full Year'!P159</f>
        <v>-23257</v>
      </c>
      <c r="I11" s="672"/>
      <c r="J11" s="663">
        <f t="shared" ref="J11:J13" si="0">SUM(C11:H11)</f>
        <v>41845.660000000003</v>
      </c>
      <c r="K11" s="660"/>
    </row>
    <row r="12" spans="1:11" x14ac:dyDescent="0.5">
      <c r="A12" s="649" t="s">
        <v>391</v>
      </c>
      <c r="B12" s="660" t="s">
        <v>399</v>
      </c>
      <c r="C12" s="670">
        <v>168816.55</v>
      </c>
      <c r="D12" s="684"/>
      <c r="E12" s="664"/>
      <c r="F12" s="661">
        <f>+F7-F10-F11</f>
        <v>76200.320000000007</v>
      </c>
      <c r="G12" s="688"/>
      <c r="H12" s="674"/>
      <c r="I12" s="692"/>
      <c r="J12" s="674">
        <f t="shared" si="0"/>
        <v>245016.87</v>
      </c>
      <c r="K12" s="660"/>
    </row>
    <row r="13" spans="1:11" x14ac:dyDescent="0.5">
      <c r="A13" s="649" t="s">
        <v>392</v>
      </c>
      <c r="B13" s="660" t="s">
        <v>394</v>
      </c>
      <c r="C13" s="651">
        <v>29502.66</v>
      </c>
      <c r="D13" s="654"/>
      <c r="E13" s="665">
        <f>+$E$7/2</f>
        <v>25600</v>
      </c>
      <c r="F13" s="662"/>
      <c r="G13" s="689"/>
      <c r="H13" s="650"/>
      <c r="I13" s="677"/>
      <c r="J13" s="665">
        <f t="shared" si="0"/>
        <v>55102.66</v>
      </c>
      <c r="K13" s="660"/>
    </row>
    <row r="14" spans="1:11" x14ac:dyDescent="0.5">
      <c r="B14" s="681" t="s">
        <v>397</v>
      </c>
      <c r="C14" s="656">
        <f>SUM(C10:C13)</f>
        <v>241587.5</v>
      </c>
      <c r="D14" s="685"/>
      <c r="E14" s="656">
        <f>SUM(E10:E13)</f>
        <v>51200</v>
      </c>
      <c r="F14" s="656">
        <f>SUM(F10:F13)</f>
        <v>106200.32000000001</v>
      </c>
      <c r="G14" s="668"/>
      <c r="H14" s="656">
        <f>SUM(H10:H13)</f>
        <v>-23257</v>
      </c>
      <c r="I14" s="673"/>
      <c r="J14" s="656">
        <f>SUM(J10:J13)</f>
        <v>375730.82000000007</v>
      </c>
      <c r="K14" s="660"/>
    </row>
  </sheetData>
  <mergeCells count="2">
    <mergeCell ref="E3:F3"/>
    <mergeCell ref="B1:J1"/>
  </mergeCells>
  <pageMargins left="0.7" right="0.7" top="0.75" bottom="0.75" header="0.3" footer="0.3"/>
  <pageSetup orientation="landscape" horizontalDpi="0" verticalDpi="0"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election activeCell="B8" sqref="B8"/>
    </sheetView>
  </sheetViews>
  <sheetFormatPr defaultRowHeight="21" x14ac:dyDescent="0.35"/>
  <cols>
    <col min="1" max="1" width="5.7265625" style="642" customWidth="1"/>
    <col min="2" max="2" width="15.7265625" style="642" customWidth="1"/>
    <col min="3" max="3" width="100.453125" style="642" customWidth="1"/>
    <col min="4" max="16384" width="8.7265625" style="642"/>
  </cols>
  <sheetData>
    <row r="1" spans="1:3" ht="26" x14ac:dyDescent="0.35">
      <c r="A1" s="1081" t="s">
        <v>370</v>
      </c>
      <c r="B1" s="1081"/>
      <c r="C1" s="1081"/>
    </row>
    <row r="3" spans="1:3" ht="42" customHeight="1" x14ac:dyDescent="0.35">
      <c r="A3" s="643" t="s">
        <v>371</v>
      </c>
      <c r="B3" s="645">
        <v>3000</v>
      </c>
      <c r="C3" s="644" t="s">
        <v>382</v>
      </c>
    </row>
    <row r="4" spans="1:3" ht="42" customHeight="1" x14ac:dyDescent="0.35">
      <c r="A4" s="643" t="s">
        <v>372</v>
      </c>
      <c r="B4" s="645">
        <v>4000</v>
      </c>
      <c r="C4" s="644" t="s">
        <v>374</v>
      </c>
    </row>
    <row r="5" spans="1:3" ht="42" customHeight="1" x14ac:dyDescent="0.35">
      <c r="A5" s="643" t="s">
        <v>373</v>
      </c>
      <c r="B5" s="645">
        <v>2759</v>
      </c>
      <c r="C5" s="644" t="s">
        <v>378</v>
      </c>
    </row>
    <row r="6" spans="1:3" ht="42" customHeight="1" x14ac:dyDescent="0.35">
      <c r="A6" s="643" t="s">
        <v>376</v>
      </c>
      <c r="B6" s="645">
        <v>8000</v>
      </c>
      <c r="C6" s="644" t="s">
        <v>375</v>
      </c>
    </row>
    <row r="7" spans="1:3" ht="42" customHeight="1" x14ac:dyDescent="0.35">
      <c r="A7" s="643" t="s">
        <v>377</v>
      </c>
      <c r="B7" s="645">
        <v>8185</v>
      </c>
      <c r="C7" s="644" t="s">
        <v>379</v>
      </c>
    </row>
  </sheetData>
  <mergeCells count="1">
    <mergeCell ref="A1:C1"/>
  </mergeCells>
  <pageMargins left="0.7" right="0.7" top="0.75" bottom="0.75" header="0.3" footer="0.3"/>
  <pageSetup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13"/>
  <sheetViews>
    <sheetView showGridLines="0" topLeftCell="B79" workbookViewId="0">
      <selection activeCell="B104" sqref="A104:XFD104"/>
    </sheetView>
  </sheetViews>
  <sheetFormatPr defaultColWidth="9.08984375" defaultRowHeight="14.5" x14ac:dyDescent="0.35"/>
  <cols>
    <col min="1" max="1" width="4.453125" style="42"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8" bestFit="1" customWidth="1"/>
    <col min="13" max="16384" width="9.08984375" style="1"/>
  </cols>
  <sheetData>
    <row r="1" spans="1:12" ht="41.25" customHeight="1" x14ac:dyDescent="0.35">
      <c r="B1" s="903" t="s">
        <v>83</v>
      </c>
      <c r="C1" s="903"/>
      <c r="D1" s="903"/>
      <c r="E1" s="903"/>
      <c r="F1" s="903"/>
      <c r="G1" s="903"/>
      <c r="H1" s="903"/>
      <c r="I1" s="903"/>
      <c r="J1" s="903"/>
      <c r="K1" s="903"/>
      <c r="L1" s="903"/>
    </row>
    <row r="2" spans="1:12" ht="8.25" customHeight="1" x14ac:dyDescent="0.35">
      <c r="B2" s="904"/>
      <c r="C2" s="904"/>
      <c r="D2" s="904"/>
      <c r="E2" s="904"/>
      <c r="F2" s="904"/>
      <c r="G2" s="904"/>
      <c r="H2" s="904"/>
      <c r="I2" s="904"/>
      <c r="J2" s="904"/>
      <c r="K2" s="904"/>
      <c r="L2" s="904"/>
    </row>
    <row r="3" spans="1:12" ht="18" customHeight="1" x14ac:dyDescent="0.35">
      <c r="E3" s="908" t="s">
        <v>82</v>
      </c>
      <c r="F3" s="909"/>
      <c r="G3" s="909"/>
      <c r="H3" s="910"/>
      <c r="J3" s="905" t="str">
        <f>+'New Year-Full Year'!U2</f>
        <v>2021 Year to Date (YTD)</v>
      </c>
      <c r="K3" s="906"/>
      <c r="L3" s="907"/>
    </row>
    <row r="4" spans="1:12" ht="22.5" customHeight="1" x14ac:dyDescent="0.35">
      <c r="E4" s="916" t="str">
        <f>+'New Year-Full Year'!P3</f>
        <v>2022 Budget</v>
      </c>
      <c r="F4" s="914" t="str">
        <f>+'New Year-Full Year'!Q3</f>
        <v>2021 Budget</v>
      </c>
      <c r="G4" s="912" t="str">
        <f>Bud_Yr&amp;" Budget vs "&amp;Bud_Yr-1&amp;" Budget"</f>
        <v>2022 Budget vs 2021 Budget</v>
      </c>
      <c r="H4" s="913"/>
      <c r="J4" s="916" t="str">
        <f>+'New Year-Full Year'!U3</f>
        <v>Dec 2021 YTD Actual</v>
      </c>
      <c r="K4" s="914" t="str">
        <f>+'New Year-Full Year'!V3</f>
        <v>Dec 2021 YTD Budget</v>
      </c>
      <c r="L4" s="918" t="s">
        <v>81</v>
      </c>
    </row>
    <row r="5" spans="1:12" s="2" customFormat="1" x14ac:dyDescent="0.35">
      <c r="A5" s="43"/>
      <c r="E5" s="917"/>
      <c r="F5" s="915"/>
      <c r="G5" s="542" t="s">
        <v>108</v>
      </c>
      <c r="H5" s="50" t="s">
        <v>109</v>
      </c>
      <c r="J5" s="917"/>
      <c r="K5" s="915"/>
      <c r="L5" s="919"/>
    </row>
    <row r="6" spans="1:12" s="2" customFormat="1" ht="19.5" customHeight="1" x14ac:dyDescent="0.35">
      <c r="A6" s="43"/>
      <c r="B6" s="6" t="s">
        <v>0</v>
      </c>
      <c r="E6" s="7"/>
      <c r="F6" s="39"/>
      <c r="G6" s="39"/>
      <c r="H6" s="39"/>
      <c r="J6" s="39"/>
      <c r="K6" s="39"/>
      <c r="L6" s="39"/>
    </row>
    <row r="7" spans="1:12" ht="19.5" customHeight="1" x14ac:dyDescent="0.35">
      <c r="A7" s="42">
        <v>1</v>
      </c>
      <c r="B7" s="881" t="str">
        <f>+'New Year-Full Year'!B6</f>
        <v>Envelope Giving</v>
      </c>
    </row>
    <row r="8" spans="1:12" x14ac:dyDescent="0.35">
      <c r="A8" s="42">
        <v>2</v>
      </c>
      <c r="C8" s="1" t="str">
        <f>+'New Year-Full Year'!C7</f>
        <v>Envelope Giving</v>
      </c>
      <c r="E8" s="37">
        <f>+'New Year-Full Year'!P7</f>
        <v>445000</v>
      </c>
      <c r="F8" s="37">
        <f>+'New Year-Full Year'!Q7</f>
        <v>477000</v>
      </c>
      <c r="G8" s="37">
        <f>+E8-F8</f>
        <v>-32000</v>
      </c>
      <c r="H8" s="3">
        <f t="shared" ref="H8:H14" si="0">IF(F8=0,"NA",(+E8-F8)/F8)</f>
        <v>-6.7085953878406712E-2</v>
      </c>
      <c r="J8" s="37">
        <f>+'New Year-Full Year'!U7</f>
        <v>455970.64</v>
      </c>
      <c r="K8" s="37">
        <f>+'New Year-Full Year'!V7</f>
        <v>477000</v>
      </c>
      <c r="L8" s="3">
        <f t="shared" ref="L8:L14" si="1">IF(K8=0,"NA",(+J8-K8)/K8)</f>
        <v>-4.4086708595387811E-2</v>
      </c>
    </row>
    <row r="9" spans="1:12" x14ac:dyDescent="0.35">
      <c r="C9" s="1" t="str">
        <f>+'New Year-Full Year'!C9</f>
        <v>Advent Offerings</v>
      </c>
      <c r="E9" s="37">
        <f>+'New Year-Full Year'!P9</f>
        <v>0</v>
      </c>
      <c r="F9" s="37">
        <f>+'New Year-Full Year'!Q9</f>
        <v>0</v>
      </c>
      <c r="G9" s="37">
        <f t="shared" ref="G9" si="2">+E9-F9</f>
        <v>0</v>
      </c>
      <c r="H9" s="3" t="str">
        <f t="shared" ref="H9" si="3">IF(F9=0,"NA",(+E9-F9)/F9)</f>
        <v>NA</v>
      </c>
      <c r="J9" s="37">
        <f>+'New Year-Full Year'!U9</f>
        <v>320</v>
      </c>
      <c r="K9" s="37">
        <f>+'New Year-Full Year'!V9</f>
        <v>0</v>
      </c>
      <c r="L9" s="3" t="str">
        <f t="shared" ref="L9" si="4">IF(K9=0,"NA",(+J9-K9)/K9)</f>
        <v>NA</v>
      </c>
    </row>
    <row r="10" spans="1:12" x14ac:dyDescent="0.35">
      <c r="A10" s="42">
        <v>4</v>
      </c>
      <c r="C10" s="1" t="str">
        <f>+'New Year-Full Year'!C10</f>
        <v>Easter Offerings</v>
      </c>
      <c r="E10" s="37">
        <f>+'New Year-Full Year'!P10</f>
        <v>2000</v>
      </c>
      <c r="F10" s="37">
        <f>+'New Year-Full Year'!Q10</f>
        <v>3500</v>
      </c>
      <c r="G10" s="37">
        <f t="shared" ref="G10:G13" si="5">+E10-F10</f>
        <v>-1500</v>
      </c>
      <c r="H10" s="3">
        <f t="shared" si="0"/>
        <v>-0.42857142857142855</v>
      </c>
      <c r="J10" s="37">
        <f>+'New Year-Full Year'!U10</f>
        <v>2910</v>
      </c>
      <c r="K10" s="37">
        <f>+'New Year-Full Year'!V10</f>
        <v>3500</v>
      </c>
      <c r="L10" s="3">
        <f t="shared" si="1"/>
        <v>-0.16857142857142857</v>
      </c>
    </row>
    <row r="11" spans="1:12" x14ac:dyDescent="0.35">
      <c r="A11" s="42">
        <v>5</v>
      </c>
      <c r="C11" s="1" t="str">
        <f>+'New Year-Full Year'!C11</f>
        <v>Thanksgiving Offerings</v>
      </c>
      <c r="E11" s="37">
        <f>+'New Year-Full Year'!P11</f>
        <v>500</v>
      </c>
      <c r="F11" s="37">
        <f>+'New Year-Full Year'!Q11</f>
        <v>1000</v>
      </c>
      <c r="G11" s="37">
        <f t="shared" si="5"/>
        <v>-500</v>
      </c>
      <c r="H11" s="3">
        <f t="shared" si="0"/>
        <v>-0.5</v>
      </c>
      <c r="J11" s="37">
        <f>+'New Year-Full Year'!U11</f>
        <v>525</v>
      </c>
      <c r="K11" s="37">
        <f>+'New Year-Full Year'!V11</f>
        <v>1000</v>
      </c>
      <c r="L11" s="3">
        <f t="shared" si="1"/>
        <v>-0.47499999999999998</v>
      </c>
    </row>
    <row r="12" spans="1:12" x14ac:dyDescent="0.35">
      <c r="A12" s="42">
        <v>6</v>
      </c>
      <c r="C12" s="1" t="str">
        <f>+'New Year-Full Year'!C12</f>
        <v>Christmas Offerings</v>
      </c>
      <c r="E12" s="37">
        <f>+'New Year-Full Year'!P12</f>
        <v>5000</v>
      </c>
      <c r="F12" s="37">
        <f>+'New Year-Full Year'!Q12</f>
        <v>5000</v>
      </c>
      <c r="G12" s="37">
        <f t="shared" si="5"/>
        <v>0</v>
      </c>
      <c r="H12" s="3">
        <f t="shared" si="0"/>
        <v>0</v>
      </c>
      <c r="J12" s="37">
        <f>+'New Year-Full Year'!U12</f>
        <v>3507</v>
      </c>
      <c r="K12" s="37">
        <f>+'New Year-Full Year'!V12</f>
        <v>5000</v>
      </c>
      <c r="L12" s="3">
        <f t="shared" si="1"/>
        <v>-0.29859999999999998</v>
      </c>
    </row>
    <row r="13" spans="1:12" x14ac:dyDescent="0.35">
      <c r="A13" s="42">
        <v>7</v>
      </c>
      <c r="C13" s="1" t="str">
        <f>+'New Year-Full Year'!C13</f>
        <v>Lenten Offerings</v>
      </c>
      <c r="E13" s="37">
        <f>+'New Year-Full Year'!P13</f>
        <v>1500</v>
      </c>
      <c r="F13" s="37">
        <f>+'New Year-Full Year'!Q13</f>
        <v>3000</v>
      </c>
      <c r="G13" s="37">
        <f t="shared" si="5"/>
        <v>-1500</v>
      </c>
      <c r="H13" s="3">
        <f t="shared" si="0"/>
        <v>-0.5</v>
      </c>
      <c r="J13" s="37">
        <f>+'New Year-Full Year'!U13</f>
        <v>817</v>
      </c>
      <c r="K13" s="37">
        <f>+'New Year-Full Year'!V13</f>
        <v>3000</v>
      </c>
      <c r="L13" s="3">
        <f t="shared" si="1"/>
        <v>-0.72766666666666668</v>
      </c>
    </row>
    <row r="14" spans="1:12" x14ac:dyDescent="0.35">
      <c r="A14" s="42">
        <v>8</v>
      </c>
      <c r="B14" s="9" t="str">
        <f>+'New Year-Full Year'!B14</f>
        <v>Total Envelope Giving</v>
      </c>
      <c r="C14" s="9"/>
      <c r="D14" s="9"/>
      <c r="E14" s="9">
        <f>SUM(E8:E13)</f>
        <v>454000</v>
      </c>
      <c r="F14" s="9">
        <f>SUM(F8:F13)</f>
        <v>489500</v>
      </c>
      <c r="G14" s="9">
        <f>SUM(G8:G13)</f>
        <v>-35500</v>
      </c>
      <c r="H14" s="10">
        <f t="shared" si="0"/>
        <v>-7.2522982635342181E-2</v>
      </c>
      <c r="J14" s="9">
        <f>SUM(J8:J13)</f>
        <v>464049.64</v>
      </c>
      <c r="K14" s="9">
        <f>SUM(K8:K13)</f>
        <v>489500</v>
      </c>
      <c r="L14" s="10">
        <f t="shared" si="1"/>
        <v>-5.1992563840653698E-2</v>
      </c>
    </row>
    <row r="15" spans="1:12" ht="19.5" customHeight="1" x14ac:dyDescent="0.35">
      <c r="A15" s="42">
        <v>10</v>
      </c>
      <c r="B15" s="881" t="s">
        <v>7</v>
      </c>
      <c r="H15" s="38"/>
    </row>
    <row r="16" spans="1:12" x14ac:dyDescent="0.35">
      <c r="A16" s="42">
        <v>11</v>
      </c>
      <c r="C16" s="1" t="str">
        <f>+'New Year-Full Year'!C16</f>
        <v>Loose Offerings &amp; Misc.</v>
      </c>
      <c r="E16" s="37">
        <f>+'New Year-Full Year'!P16</f>
        <v>4000</v>
      </c>
      <c r="F16" s="37">
        <f>+'New Year-Full Year'!Q16</f>
        <v>9000</v>
      </c>
      <c r="G16" s="37">
        <f t="shared" ref="G16:G17" si="6">+E16-F16</f>
        <v>-5000</v>
      </c>
      <c r="H16" s="3">
        <f t="shared" ref="H16:H19" si="7">IF(F16=0,"NA",(+E16-F16)/F16)</f>
        <v>-0.55555555555555558</v>
      </c>
      <c r="J16" s="37">
        <f>+'New Year-Full Year'!U16</f>
        <v>60454.41</v>
      </c>
      <c r="K16" s="37">
        <f>+'New Year-Full Year'!V16</f>
        <v>9000</v>
      </c>
      <c r="L16" s="3">
        <f t="shared" ref="L16:L19" si="8">IF(K16=0,"NA",(+J16-K16)/K16)</f>
        <v>5.7171566666666669</v>
      </c>
    </row>
    <row r="17" spans="1:12" x14ac:dyDescent="0.35">
      <c r="A17" s="42">
        <v>14</v>
      </c>
      <c r="C17" s="1" t="str">
        <f>+'New Year-Full Year'!C17</f>
        <v>Current Investment Income</v>
      </c>
      <c r="E17" s="37">
        <f>+'New Year-Full Year'!P17</f>
        <v>0</v>
      </c>
      <c r="F17" s="37">
        <f>+'New Year-Full Year'!Q17</f>
        <v>0</v>
      </c>
      <c r="G17" s="37">
        <f t="shared" si="6"/>
        <v>0</v>
      </c>
      <c r="H17" s="3" t="str">
        <f t="shared" si="7"/>
        <v>NA</v>
      </c>
      <c r="J17" s="37">
        <f>+'New Year-Full Year'!U17</f>
        <v>0.82</v>
      </c>
      <c r="K17" s="37">
        <f>+'New Year-Full Year'!V17</f>
        <v>0</v>
      </c>
      <c r="L17" s="3" t="str">
        <f t="shared" si="8"/>
        <v>NA</v>
      </c>
    </row>
    <row r="18" spans="1:12" hidden="1" x14ac:dyDescent="0.35">
      <c r="A18" s="42">
        <v>15</v>
      </c>
      <c r="C18" s="1" t="str">
        <f>+'New Year-Full Year'!C18</f>
        <v>Clearing Account</v>
      </c>
      <c r="E18" s="37">
        <f>+'New Year-Full Year'!P18</f>
        <v>0</v>
      </c>
      <c r="F18" s="37">
        <f>+'New Year-Full Year'!Q18</f>
        <v>0</v>
      </c>
      <c r="G18" s="37"/>
      <c r="H18" s="3" t="str">
        <f t="shared" si="7"/>
        <v>NA</v>
      </c>
      <c r="J18" s="37">
        <f>+'New Year-Full Year'!U18</f>
        <v>0</v>
      </c>
      <c r="K18" s="37">
        <f>+'New Year-Full Year'!V18</f>
        <v>0</v>
      </c>
      <c r="L18" s="3" t="str">
        <f t="shared" si="8"/>
        <v>NA</v>
      </c>
    </row>
    <row r="19" spans="1:12" x14ac:dyDescent="0.35">
      <c r="A19" s="42">
        <v>16</v>
      </c>
      <c r="B19" s="9" t="str">
        <f>+'New Year-Full Year'!B19</f>
        <v>Total Misc Income</v>
      </c>
      <c r="C19" s="9"/>
      <c r="D19" s="9"/>
      <c r="E19" s="9">
        <f>SUM(E16:E18)</f>
        <v>4000</v>
      </c>
      <c r="F19" s="9">
        <f>SUM(F16:F18)</f>
        <v>9000</v>
      </c>
      <c r="G19" s="9">
        <f>SUM(G16:G18)</f>
        <v>-5000</v>
      </c>
      <c r="H19" s="10">
        <f t="shared" si="7"/>
        <v>-0.55555555555555558</v>
      </c>
      <c r="J19" s="9">
        <f>SUM(J16:J18)</f>
        <v>60455.23</v>
      </c>
      <c r="K19" s="9">
        <f>SUM(K16:K18)</f>
        <v>9000</v>
      </c>
      <c r="L19" s="10">
        <f t="shared" si="8"/>
        <v>5.7172477777777777</v>
      </c>
    </row>
    <row r="20" spans="1:12" x14ac:dyDescent="0.35">
      <c r="B20" s="9" t="str">
        <f>+'New Year-Full Year'!B20</f>
        <v>TOTAL INCOME</v>
      </c>
      <c r="C20" s="9"/>
      <c r="D20" s="9"/>
      <c r="E20" s="9">
        <f>+E14+E19</f>
        <v>458000</v>
      </c>
      <c r="F20" s="9">
        <f>+F14+F19</f>
        <v>498500</v>
      </c>
      <c r="G20" s="9">
        <f>+G14+G19</f>
        <v>-40500</v>
      </c>
      <c r="H20" s="10">
        <f t="shared" ref="H20" si="9">IF(F20=0,"NA",(+E20-F20)/F20)</f>
        <v>-8.1243731193580748E-2</v>
      </c>
      <c r="J20" s="9">
        <f>+J14+J19</f>
        <v>524504.87</v>
      </c>
      <c r="K20" s="9">
        <f>+K14+K19</f>
        <v>498500</v>
      </c>
      <c r="L20" s="10">
        <f t="shared" ref="L20" si="10">IF(K20=0,"NA",(+J20-K20)/K20)</f>
        <v>5.2166238716148436E-2</v>
      </c>
    </row>
    <row r="21" spans="1:12" ht="23" customHeight="1" x14ac:dyDescent="0.35">
      <c r="A21" s="42">
        <v>19</v>
      </c>
      <c r="B21" s="6" t="str">
        <f>+'New Year-Full Year'!B21</f>
        <v>Expenses</v>
      </c>
      <c r="H21" s="38"/>
    </row>
    <row r="22" spans="1:12" ht="19.5" customHeight="1" x14ac:dyDescent="0.35">
      <c r="A22" s="6" t="s">
        <v>88</v>
      </c>
      <c r="B22" s="6" t="str">
        <f>+'New Year-Full Year'!B22</f>
        <v>Benevolence</v>
      </c>
      <c r="C22" s="49"/>
      <c r="H22" s="38"/>
    </row>
    <row r="23" spans="1:12" ht="14.5" customHeight="1" x14ac:dyDescent="0.35">
      <c r="A23" s="6"/>
      <c r="B23" s="1"/>
      <c r="C23" s="393" t="str">
        <f>+'New Year-Full Year'!C23</f>
        <v xml:space="preserve">Greater Milwaukee Synod </v>
      </c>
      <c r="E23" s="37">
        <f>+'New Year-Full Year'!P23</f>
        <v>21000</v>
      </c>
      <c r="F23" s="37">
        <f>+'New Year-Full Year'!Q23</f>
        <v>28790</v>
      </c>
      <c r="G23" s="37">
        <f t="shared" ref="G23" si="11">+E23-F23</f>
        <v>-7790</v>
      </c>
      <c r="H23" s="3">
        <f t="shared" ref="H23" si="12">IF(F23=0,"NA",(+E23-F23)/F23)</f>
        <v>-0.27058006252170891</v>
      </c>
      <c r="J23" s="37">
        <f>+'New Year-Full Year'!U23</f>
        <v>28790</v>
      </c>
      <c r="K23" s="37">
        <f>+'New Year-Full Year'!V23</f>
        <v>28790</v>
      </c>
      <c r="L23" s="3">
        <f t="shared" ref="L23" si="13">IF(K23=0,"NA",(+J23-K23)/K23)</f>
        <v>0</v>
      </c>
    </row>
    <row r="24" spans="1:12" ht="14.5" customHeight="1" x14ac:dyDescent="0.35">
      <c r="A24" s="6"/>
      <c r="B24" s="1"/>
      <c r="C24" s="393" t="str">
        <f>+'New Year-Full Year'!C24</f>
        <v>Holman's Ministry</v>
      </c>
      <c r="E24" s="37">
        <f>+'New Year-Full Year'!P24</f>
        <v>0</v>
      </c>
      <c r="F24" s="37">
        <f>+'New Year-Full Year'!Q24</f>
        <v>3000</v>
      </c>
      <c r="G24" s="37">
        <f t="shared" ref="G24:G31" si="14">+E24-F24</f>
        <v>-3000</v>
      </c>
      <c r="H24" s="3">
        <f t="shared" ref="H24:H31" si="15">IF(F24=0,"NA",(+E24-F24)/F24)</f>
        <v>-1</v>
      </c>
      <c r="J24" s="37">
        <f>+'New Year-Full Year'!U24</f>
        <v>3000</v>
      </c>
      <c r="K24" s="37">
        <f>+'New Year-Full Year'!V24</f>
        <v>3000</v>
      </c>
      <c r="L24" s="3">
        <f t="shared" ref="L24:L31" si="16">IF(K24=0,"NA",(+J24-K24)/K24)</f>
        <v>0</v>
      </c>
    </row>
    <row r="25" spans="1:12" ht="14.5" customHeight="1" x14ac:dyDescent="0.35">
      <c r="A25" s="6"/>
      <c r="B25" s="1"/>
      <c r="C25" s="393" t="str">
        <f>+'New Year-Full Year'!C25</f>
        <v>Lutherdale Bible Camp</v>
      </c>
      <c r="E25" s="37">
        <f>+'New Year-Full Year'!P25</f>
        <v>500</v>
      </c>
      <c r="F25" s="37">
        <f>+'New Year-Full Year'!Q25</f>
        <v>1000</v>
      </c>
      <c r="G25" s="37">
        <f t="shared" si="14"/>
        <v>-500</v>
      </c>
      <c r="H25" s="3">
        <f t="shared" si="15"/>
        <v>-0.5</v>
      </c>
      <c r="J25" s="37">
        <f>+'New Year-Full Year'!U25</f>
        <v>1000</v>
      </c>
      <c r="K25" s="37">
        <f>+'New Year-Full Year'!V25</f>
        <v>1000</v>
      </c>
      <c r="L25" s="3">
        <f t="shared" si="16"/>
        <v>0</v>
      </c>
    </row>
    <row r="26" spans="1:12" ht="14.5" customHeight="1" x14ac:dyDescent="0.35">
      <c r="A26" s="6"/>
      <c r="B26" s="1"/>
      <c r="C26" s="393" t="str">
        <f>+'New Year-Full Year'!C26</f>
        <v>Racine Cluster (Living Faith Meal)</v>
      </c>
      <c r="E26" s="37">
        <f>+'New Year-Full Year'!P26</f>
        <v>1500</v>
      </c>
      <c r="F26" s="37">
        <f>+'New Year-Full Year'!Q26</f>
        <v>2000</v>
      </c>
      <c r="G26" s="37">
        <f t="shared" si="14"/>
        <v>-500</v>
      </c>
      <c r="H26" s="3">
        <f t="shared" si="15"/>
        <v>-0.25</v>
      </c>
      <c r="J26" s="37">
        <f>+'New Year-Full Year'!U26</f>
        <v>2000</v>
      </c>
      <c r="K26" s="37">
        <f>+'New Year-Full Year'!V26</f>
        <v>2000</v>
      </c>
      <c r="L26" s="3">
        <f t="shared" si="16"/>
        <v>0</v>
      </c>
    </row>
    <row r="27" spans="1:12" ht="14.5" customHeight="1" x14ac:dyDescent="0.35">
      <c r="A27" s="6"/>
      <c r="B27" s="1"/>
      <c r="C27" s="393" t="str">
        <f>+'New Year-Full Year'!C27</f>
        <v>Racine Interfairth Coalition</v>
      </c>
      <c r="E27" s="37">
        <f>+'New Year-Full Year'!P27</f>
        <v>750</v>
      </c>
      <c r="F27" s="37">
        <f>+'New Year-Full Year'!Q27</f>
        <v>750</v>
      </c>
      <c r="G27" s="37">
        <f t="shared" si="14"/>
        <v>0</v>
      </c>
      <c r="H27" s="3">
        <f t="shared" si="15"/>
        <v>0</v>
      </c>
      <c r="J27" s="37">
        <f>+'New Year-Full Year'!U27</f>
        <v>750</v>
      </c>
      <c r="K27" s="37">
        <f>+'New Year-Full Year'!V27</f>
        <v>750</v>
      </c>
      <c r="L27" s="3">
        <f t="shared" si="16"/>
        <v>0</v>
      </c>
    </row>
    <row r="28" spans="1:12" ht="14.5" customHeight="1" x14ac:dyDescent="0.35">
      <c r="A28" s="6"/>
      <c r="B28" s="1"/>
      <c r="C28" s="393" t="str">
        <f>+'New Year-Full Year'!C28</f>
        <v>Good Samaritain</v>
      </c>
      <c r="E28" s="37">
        <f>+'New Year-Full Year'!P28</f>
        <v>1000</v>
      </c>
      <c r="F28" s="37">
        <f>+'New Year-Full Year'!Q28</f>
        <v>1000</v>
      </c>
      <c r="G28" s="37">
        <f t="shared" si="14"/>
        <v>0</v>
      </c>
      <c r="H28" s="3">
        <f t="shared" si="15"/>
        <v>0</v>
      </c>
      <c r="J28" s="37">
        <f>+'New Year-Full Year'!U28</f>
        <v>1000</v>
      </c>
      <c r="K28" s="37">
        <f>+'New Year-Full Year'!V28</f>
        <v>1000</v>
      </c>
      <c r="L28" s="3">
        <f t="shared" si="16"/>
        <v>0</v>
      </c>
    </row>
    <row r="29" spans="1:12" ht="14.5" customHeight="1" x14ac:dyDescent="0.35">
      <c r="A29" s="6"/>
      <c r="B29" s="1"/>
      <c r="C29" s="393" t="str">
        <f>+'New Year-Full Year'!C29</f>
        <v>HALO</v>
      </c>
      <c r="E29" s="37">
        <f>+'New Year-Full Year'!P29</f>
        <v>1000</v>
      </c>
      <c r="F29" s="37">
        <f>+'New Year-Full Year'!Q29</f>
        <v>1500</v>
      </c>
      <c r="G29" s="37">
        <f t="shared" si="14"/>
        <v>-500</v>
      </c>
      <c r="H29" s="3">
        <f t="shared" si="15"/>
        <v>-0.33333333333333331</v>
      </c>
      <c r="J29" s="37">
        <f>+'New Year-Full Year'!U29</f>
        <v>3238</v>
      </c>
      <c r="K29" s="37">
        <f>+'New Year-Full Year'!V29</f>
        <v>1500</v>
      </c>
      <c r="L29" s="3">
        <f t="shared" si="16"/>
        <v>1.1586666666666667</v>
      </c>
    </row>
    <row r="30" spans="1:12" ht="14.5" customHeight="1" x14ac:dyDescent="0.35">
      <c r="A30" s="6"/>
      <c r="B30" s="1"/>
      <c r="C30" s="393" t="str">
        <f>+'New Year-Full Year'!C30</f>
        <v>Veterans Tiny Homes</v>
      </c>
      <c r="E30" s="37">
        <f>+'New Year-Full Year'!P30</f>
        <v>1000</v>
      </c>
      <c r="F30" s="37">
        <f>+'New Year-Full Year'!Q30</f>
        <v>1500</v>
      </c>
      <c r="G30" s="37">
        <f t="shared" si="14"/>
        <v>-500</v>
      </c>
      <c r="H30" s="3">
        <f t="shared" si="15"/>
        <v>-0.33333333333333331</v>
      </c>
      <c r="J30" s="37">
        <f>+'New Year-Full Year'!U30</f>
        <v>1500</v>
      </c>
      <c r="K30" s="37">
        <f>+'New Year-Full Year'!V30</f>
        <v>1500</v>
      </c>
      <c r="L30" s="3">
        <f t="shared" si="16"/>
        <v>0</v>
      </c>
    </row>
    <row r="31" spans="1:12" ht="14.5" customHeight="1" x14ac:dyDescent="0.35">
      <c r="A31" s="6"/>
      <c r="B31" s="1"/>
      <c r="C31" s="393" t="str">
        <f>+'New Year-Full Year'!C31</f>
        <v>Hospitality Center</v>
      </c>
      <c r="E31" s="37">
        <f>+'New Year-Full Year'!P31</f>
        <v>1000</v>
      </c>
      <c r="F31" s="37">
        <f>+'New Year-Full Year'!Q31</f>
        <v>500</v>
      </c>
      <c r="G31" s="37">
        <f t="shared" si="14"/>
        <v>500</v>
      </c>
      <c r="H31" s="3">
        <f t="shared" si="15"/>
        <v>1</v>
      </c>
      <c r="J31" s="37">
        <f>+'New Year-Full Year'!U31</f>
        <v>500</v>
      </c>
      <c r="K31" s="37">
        <f>+'New Year-Full Year'!V31</f>
        <v>500</v>
      </c>
      <c r="L31" s="3">
        <f t="shared" si="16"/>
        <v>0</v>
      </c>
    </row>
    <row r="32" spans="1:12" s="2" customFormat="1" x14ac:dyDescent="0.35">
      <c r="A32" s="42">
        <v>26</v>
      </c>
      <c r="B32" s="11"/>
      <c r="C32" s="11" t="str">
        <f>+'New Year-Full Year'!C32</f>
        <v>6.1% Benevolence</v>
      </c>
      <c r="D32" s="11"/>
      <c r="E32" s="11">
        <f>SUM(E23:E31)</f>
        <v>27750</v>
      </c>
      <c r="F32" s="11">
        <f>SUM(F23:F31)</f>
        <v>40040</v>
      </c>
      <c r="G32" s="11">
        <f t="shared" ref="G32" si="17">+E32-F32</f>
        <v>-12290</v>
      </c>
      <c r="H32" s="13">
        <f>IF(F32=0,"NA",(+E32-F32)/F32)</f>
        <v>-0.30694305694305696</v>
      </c>
      <c r="I32" s="1"/>
      <c r="J32" s="11">
        <f>SUM(J23:J31)</f>
        <v>41778</v>
      </c>
      <c r="K32" s="11">
        <f>SUM(K23:K31)</f>
        <v>40040</v>
      </c>
      <c r="L32" s="13">
        <f>IF(K32=0,"NA",(+J32-K32)/K32)</f>
        <v>4.3406593406593405E-2</v>
      </c>
    </row>
    <row r="33" spans="1:12" s="2" customFormat="1" ht="19.5" customHeight="1" x14ac:dyDescent="0.35">
      <c r="A33" s="42">
        <v>28</v>
      </c>
      <c r="B33" s="18" t="s">
        <v>58</v>
      </c>
      <c r="C33" s="15"/>
      <c r="D33" s="14"/>
      <c r="E33" s="901"/>
      <c r="F33" s="901"/>
      <c r="G33" s="16"/>
      <c r="H33" s="17"/>
      <c r="I33" s="14"/>
      <c r="J33" s="901"/>
      <c r="K33" s="901"/>
      <c r="L33" s="17"/>
    </row>
    <row r="34" spans="1:12" ht="19.5" customHeight="1" x14ac:dyDescent="0.35">
      <c r="A34" s="42">
        <v>29</v>
      </c>
      <c r="B34" s="911" t="str">
        <f>+'New Year-Full Year'!B34</f>
        <v>Parish Ed</v>
      </c>
      <c r="C34" s="911"/>
      <c r="D34" s="911"/>
      <c r="H34" s="38"/>
    </row>
    <row r="35" spans="1:12" x14ac:dyDescent="0.35">
      <c r="A35" s="42">
        <v>30</v>
      </c>
      <c r="C35" s="1" t="str">
        <f>+'New Year-Full Year'!C35</f>
        <v>Sunday School</v>
      </c>
      <c r="E35" s="37">
        <f>+'New Year-Full Year'!P35</f>
        <v>1500</v>
      </c>
      <c r="F35" s="37">
        <f>+'New Year-Full Year'!Q35</f>
        <v>2300</v>
      </c>
      <c r="G35" s="37">
        <f t="shared" ref="G35:G41" si="18">+E35-F35</f>
        <v>-800</v>
      </c>
      <c r="H35" s="3">
        <f t="shared" ref="H35:H42" si="19">IF(F35=0,"NA",(+E35-F35)/F35)</f>
        <v>-0.34782608695652173</v>
      </c>
      <c r="J35" s="37">
        <f>+'New Year-Full Year'!U35</f>
        <v>1009.72</v>
      </c>
      <c r="K35" s="37">
        <f>+'New Year-Full Year'!V35</f>
        <v>2300</v>
      </c>
      <c r="L35" s="3">
        <f t="shared" ref="L35:L42" si="20">IF(K35=0,"NA",(+J35-K35)/K35)</f>
        <v>-0.56099130434782607</v>
      </c>
    </row>
    <row r="36" spans="1:12" x14ac:dyDescent="0.35">
      <c r="A36" s="42">
        <v>31</v>
      </c>
      <c r="C36" s="1" t="str">
        <f>+'New Year-Full Year'!C37</f>
        <v>Confirmation</v>
      </c>
      <c r="E36" s="37">
        <f>+'New Year-Full Year'!P37</f>
        <v>1000</v>
      </c>
      <c r="F36" s="37">
        <f>+'New Year-Full Year'!Q37</f>
        <v>1000</v>
      </c>
      <c r="G36" s="37">
        <f t="shared" si="18"/>
        <v>0</v>
      </c>
      <c r="H36" s="3">
        <f t="shared" si="19"/>
        <v>0</v>
      </c>
      <c r="J36" s="37">
        <f>+'New Year-Full Year'!U37</f>
        <v>256.57</v>
      </c>
      <c r="K36" s="37">
        <f>+'New Year-Full Year'!V37</f>
        <v>1000</v>
      </c>
      <c r="L36" s="3">
        <f t="shared" si="20"/>
        <v>-0.74343000000000004</v>
      </c>
    </row>
    <row r="37" spans="1:12" x14ac:dyDescent="0.35">
      <c r="A37" s="42">
        <v>32</v>
      </c>
      <c r="C37" s="1" t="str">
        <f>+'New Year-Full Year'!C39</f>
        <v>Neighborhood Camp</v>
      </c>
      <c r="E37" s="37">
        <f>+'New Year-Full Year'!P39</f>
        <v>250</v>
      </c>
      <c r="F37" s="37">
        <f>+'New Year-Full Year'!Q39</f>
        <v>250</v>
      </c>
      <c r="G37" s="37">
        <f t="shared" si="18"/>
        <v>0</v>
      </c>
      <c r="H37" s="3">
        <f t="shared" si="19"/>
        <v>0</v>
      </c>
      <c r="J37" s="37">
        <f>+'New Year-Full Year'!U39</f>
        <v>0</v>
      </c>
      <c r="K37" s="37">
        <f>+'New Year-Full Year'!V39</f>
        <v>250</v>
      </c>
      <c r="L37" s="3">
        <f t="shared" si="20"/>
        <v>-1</v>
      </c>
    </row>
    <row r="38" spans="1:12" x14ac:dyDescent="0.35">
      <c r="A38" s="42">
        <v>33</v>
      </c>
      <c r="C38" s="1" t="str">
        <f>+'New Year-Full Year'!C40</f>
        <v>Library</v>
      </c>
      <c r="E38" s="37">
        <f>+'New Year-Full Year'!P40</f>
        <v>300</v>
      </c>
      <c r="F38" s="37">
        <f>+'New Year-Full Year'!Q40</f>
        <v>300</v>
      </c>
      <c r="G38" s="37">
        <f t="shared" si="18"/>
        <v>0</v>
      </c>
      <c r="H38" s="3">
        <f t="shared" si="19"/>
        <v>0</v>
      </c>
      <c r="J38" s="37">
        <f>+'New Year-Full Year'!U40</f>
        <v>300</v>
      </c>
      <c r="K38" s="37">
        <f>+'New Year-Full Year'!V40</f>
        <v>300</v>
      </c>
      <c r="L38" s="3">
        <f t="shared" si="20"/>
        <v>0</v>
      </c>
    </row>
    <row r="39" spans="1:12" x14ac:dyDescent="0.35">
      <c r="A39" s="42">
        <v>34</v>
      </c>
      <c r="C39" s="1" t="str">
        <f>+'New Year-Full Year'!C41</f>
        <v>Communion Education</v>
      </c>
      <c r="E39" s="37">
        <f>+'New Year-Full Year'!P41</f>
        <v>200</v>
      </c>
      <c r="F39" s="37">
        <f>+'New Year-Full Year'!Q41</f>
        <v>200</v>
      </c>
      <c r="G39" s="37">
        <f t="shared" si="18"/>
        <v>0</v>
      </c>
      <c r="H39" s="3">
        <f t="shared" si="19"/>
        <v>0</v>
      </c>
      <c r="J39" s="37">
        <f>+'New Year-Full Year'!U41</f>
        <v>68.8</v>
      </c>
      <c r="K39" s="37">
        <f>+'New Year-Full Year'!V41</f>
        <v>200</v>
      </c>
      <c r="L39" s="3">
        <f t="shared" si="20"/>
        <v>-0.65599999999999992</v>
      </c>
    </row>
    <row r="40" spans="1:12" x14ac:dyDescent="0.35">
      <c r="C40" s="1" t="str">
        <f>+'New Year-Full Year'!C42</f>
        <v>Adult Education</v>
      </c>
      <c r="E40" s="37">
        <f>+'New Year-Full Year'!P42</f>
        <v>550</v>
      </c>
      <c r="F40" s="37">
        <f>+'New Year-Full Year'!Q42</f>
        <v>550</v>
      </c>
      <c r="G40" s="37">
        <f t="shared" si="18"/>
        <v>0</v>
      </c>
      <c r="H40" s="3">
        <f t="shared" si="19"/>
        <v>0</v>
      </c>
      <c r="J40" s="37">
        <f>+'New Year-Full Year'!U42</f>
        <v>228.67</v>
      </c>
      <c r="K40" s="37">
        <f>+'New Year-Full Year'!V42</f>
        <v>550</v>
      </c>
      <c r="L40" s="3">
        <f>IF(K40=0,"NA",(+J40-K40)/K40)</f>
        <v>-0.58423636363636366</v>
      </c>
    </row>
    <row r="41" spans="1:12" x14ac:dyDescent="0.35">
      <c r="A41" s="42">
        <v>35</v>
      </c>
      <c r="C41" s="1" t="str">
        <f>+'New Year-Full Year'!C43</f>
        <v>Cradle Roll</v>
      </c>
      <c r="E41" s="37">
        <f>+'New Year-Full Year'!P43</f>
        <v>250</v>
      </c>
      <c r="F41" s="37">
        <f>+'New Year-Full Year'!Q43</f>
        <v>250</v>
      </c>
      <c r="G41" s="37">
        <f t="shared" si="18"/>
        <v>0</v>
      </c>
      <c r="H41" s="3">
        <f t="shared" si="19"/>
        <v>0</v>
      </c>
      <c r="J41" s="37">
        <f>+'New Year-Full Year'!U43</f>
        <v>0</v>
      </c>
      <c r="K41" s="37">
        <f>+'New Year-Full Year'!V43</f>
        <v>250</v>
      </c>
      <c r="L41" s="3">
        <f t="shared" si="20"/>
        <v>-1</v>
      </c>
    </row>
    <row r="42" spans="1:12" s="2" customFormat="1" x14ac:dyDescent="0.35">
      <c r="A42" s="42">
        <v>36</v>
      </c>
      <c r="B42" s="36" t="str">
        <f>+'New Year-Full Year'!B44</f>
        <v>Total Parish Ed</v>
      </c>
      <c r="C42" s="36"/>
      <c r="D42" s="36"/>
      <c r="E42" s="36">
        <f>SUM(E35:E41)</f>
        <v>4050</v>
      </c>
      <c r="F42" s="36">
        <f>SUM(F35:F41)</f>
        <v>4850</v>
      </c>
      <c r="G42" s="36">
        <f>SUM(G35:G41)</f>
        <v>-800</v>
      </c>
      <c r="H42" s="20">
        <f t="shared" si="19"/>
        <v>-0.16494845360824742</v>
      </c>
      <c r="J42" s="36">
        <f>SUM(J35:J41)</f>
        <v>1863.76</v>
      </c>
      <c r="K42" s="36">
        <f>SUM(K35:K41)</f>
        <v>4850</v>
      </c>
      <c r="L42" s="20">
        <f t="shared" si="20"/>
        <v>-0.61571958762886592</v>
      </c>
    </row>
    <row r="43" spans="1:12" ht="19.5" customHeight="1" x14ac:dyDescent="0.35">
      <c r="A43" s="42">
        <v>40</v>
      </c>
      <c r="B43" s="881" t="str">
        <f>+'New Year-Full Year'!B45</f>
        <v>Worship</v>
      </c>
      <c r="H43" s="38"/>
    </row>
    <row r="44" spans="1:12" x14ac:dyDescent="0.35">
      <c r="A44" s="42">
        <v>41</v>
      </c>
      <c r="C44" s="1" t="str">
        <f>+'New Year-Full Year'!C46</f>
        <v>Worship Supplies</v>
      </c>
      <c r="E44" s="37">
        <f>+'New Year-Full Year'!P46</f>
        <v>3500</v>
      </c>
      <c r="F44" s="37">
        <f>+'New Year-Full Year'!Q46</f>
        <v>3500</v>
      </c>
      <c r="G44" s="37">
        <f t="shared" ref="G44:G46" si="21">+E44-F44</f>
        <v>0</v>
      </c>
      <c r="H44" s="3">
        <f>IF(F44=0,"NA",(+E44-F44)/F44)</f>
        <v>0</v>
      </c>
      <c r="J44" s="37">
        <f>+'New Year-Full Year'!U46</f>
        <v>3428.37</v>
      </c>
      <c r="K44" s="37">
        <f>+'New Year-Full Year'!V46</f>
        <v>3500</v>
      </c>
      <c r="L44" s="3">
        <f>IF(K44=0,"NA",(+J44-K44)/K44)</f>
        <v>-2.0465714285714316E-2</v>
      </c>
    </row>
    <row r="45" spans="1:12" x14ac:dyDescent="0.35">
      <c r="A45" s="42">
        <v>43</v>
      </c>
      <c r="C45" s="1" t="str">
        <f>+'New Year-Full Year'!C47</f>
        <v>Children's Services</v>
      </c>
      <c r="E45" s="37">
        <f>+'New Year-Full Year'!P47</f>
        <v>100</v>
      </c>
      <c r="F45" s="37">
        <f>+'New Year-Full Year'!Q47</f>
        <v>100</v>
      </c>
      <c r="G45" s="37">
        <f t="shared" si="21"/>
        <v>0</v>
      </c>
      <c r="H45" s="3">
        <f>IF(F45=0,"NA",(+E45-F45)/F45)</f>
        <v>0</v>
      </c>
      <c r="J45" s="37">
        <f>+'New Year-Full Year'!U47</f>
        <v>0</v>
      </c>
      <c r="K45" s="37">
        <f>+'New Year-Full Year'!V47</f>
        <v>100</v>
      </c>
      <c r="L45" s="3">
        <f>IF(K45=0,"NA",(+J45-K45)/K45)</f>
        <v>-1</v>
      </c>
    </row>
    <row r="46" spans="1:12" x14ac:dyDescent="0.35">
      <c r="A46" s="42">
        <v>44</v>
      </c>
      <c r="C46" s="1" t="str">
        <f>+'New Year-Full Year'!C48</f>
        <v>Flowers</v>
      </c>
      <c r="E46" s="37">
        <f>+'New Year-Full Year'!P48</f>
        <v>200</v>
      </c>
      <c r="F46" s="37">
        <f>+'New Year-Full Year'!Q48</f>
        <v>200</v>
      </c>
      <c r="G46" s="37">
        <f t="shared" si="21"/>
        <v>0</v>
      </c>
      <c r="H46" s="3">
        <f>IF(F46=0,"NA",(+E46-F46)/F46)</f>
        <v>0</v>
      </c>
      <c r="J46" s="37">
        <f>+'New Year-Full Year'!U48</f>
        <v>225.23</v>
      </c>
      <c r="K46" s="37">
        <f>+'New Year-Full Year'!V48</f>
        <v>200</v>
      </c>
      <c r="L46" s="3">
        <f>IF(K46=0,"NA",(+J46-K46)/K46)</f>
        <v>0.12614999999999996</v>
      </c>
    </row>
    <row r="47" spans="1:12" s="2" customFormat="1" x14ac:dyDescent="0.35">
      <c r="A47" s="42">
        <v>45</v>
      </c>
      <c r="B47" s="36" t="str">
        <f>+'New Year-Full Year'!B49</f>
        <v>Total Worship</v>
      </c>
      <c r="C47" s="36"/>
      <c r="D47" s="36"/>
      <c r="E47" s="36">
        <f>SUM(E44:E46)</f>
        <v>3800</v>
      </c>
      <c r="F47" s="36">
        <f>SUM(F44:F46)</f>
        <v>3800</v>
      </c>
      <c r="G47" s="36">
        <f>SUM(G44:G46)</f>
        <v>0</v>
      </c>
      <c r="H47" s="20">
        <f>IF(F47=0,"NA",(+E47-F47)/F47)</f>
        <v>0</v>
      </c>
      <c r="J47" s="36">
        <f>SUM(J44:J46)</f>
        <v>3653.6</v>
      </c>
      <c r="K47" s="36">
        <f>SUM(K44:K46)</f>
        <v>3800</v>
      </c>
      <c r="L47" s="20">
        <f>IF(K47=0,"NA",(+J47-K47)/K47)</f>
        <v>-3.8526315789473707E-2</v>
      </c>
    </row>
    <row r="48" spans="1:12" ht="6.75" customHeight="1" x14ac:dyDescent="0.35">
      <c r="A48" s="42">
        <v>46</v>
      </c>
      <c r="H48" s="38"/>
    </row>
    <row r="49" spans="1:12" s="2" customFormat="1" x14ac:dyDescent="0.35">
      <c r="A49" s="42">
        <v>51</v>
      </c>
      <c r="B49" s="36" t="str">
        <f>+'New Year-Full Year'!B51</f>
        <v>Youth</v>
      </c>
      <c r="C49" s="36"/>
      <c r="D49" s="36"/>
      <c r="E49" s="36">
        <f>+'New Year-Full Year'!P51</f>
        <v>8000</v>
      </c>
      <c r="F49" s="36">
        <f>+'New Year-Full Year'!Q51</f>
        <v>12800</v>
      </c>
      <c r="G49" s="36">
        <f t="shared" ref="G49" si="22">+E49-F49</f>
        <v>-4800</v>
      </c>
      <c r="H49" s="20">
        <f>IF(F49=0,"NA",(+E49-F49)/F49)</f>
        <v>-0.375</v>
      </c>
      <c r="J49" s="36">
        <f>+'New Year-Full Year'!U51</f>
        <v>1407.68</v>
      </c>
      <c r="K49" s="36">
        <f>+'New Year-Full Year'!V51</f>
        <v>12800</v>
      </c>
      <c r="L49" s="20">
        <f>IF(K49=0,"NA",(+J49-K49)/K49)</f>
        <v>-0.89002499999999996</v>
      </c>
    </row>
    <row r="50" spans="1:12" ht="19.5" customHeight="1" x14ac:dyDescent="0.35">
      <c r="A50" s="42">
        <v>53</v>
      </c>
      <c r="B50" s="881" t="str">
        <f>+'New Year-Full Year'!B52</f>
        <v>Church Membership</v>
      </c>
      <c r="H50" s="38"/>
    </row>
    <row r="51" spans="1:12" x14ac:dyDescent="0.35">
      <c r="A51" s="42">
        <v>54</v>
      </c>
      <c r="C51" s="1" t="str">
        <f>+'New Year-Full Year'!C53</f>
        <v>Church Membership Activities</v>
      </c>
      <c r="E51" s="37">
        <f>+'New Year-Full Year'!P53</f>
        <v>400</v>
      </c>
      <c r="F51" s="37">
        <f>+'New Year-Full Year'!Q53</f>
        <v>400</v>
      </c>
      <c r="G51" s="37">
        <f t="shared" ref="G51:G52" si="23">+E51-F51</f>
        <v>0</v>
      </c>
      <c r="H51" s="3">
        <f>IF(F51=0,"NA",(+E51-F51)/F51)</f>
        <v>0</v>
      </c>
      <c r="J51" s="37">
        <f>+'New Year-Full Year'!U53</f>
        <v>0</v>
      </c>
      <c r="K51" s="37">
        <f>+'New Year-Full Year'!V53</f>
        <v>400</v>
      </c>
      <c r="L51" s="3">
        <f>IF(K51=0,"NA",(+J51-K51)/K51)</f>
        <v>-1</v>
      </c>
    </row>
    <row r="52" spans="1:12" x14ac:dyDescent="0.35">
      <c r="A52" s="42">
        <v>55</v>
      </c>
      <c r="C52" s="1" t="str">
        <f>+'New Year-Full Year'!C55</f>
        <v>Sunday Coffee</v>
      </c>
      <c r="E52" s="37">
        <f>+'New Year-Full Year'!P55</f>
        <v>150</v>
      </c>
      <c r="F52" s="37">
        <f>+'New Year-Full Year'!Q55</f>
        <v>150</v>
      </c>
      <c r="G52" s="37">
        <f t="shared" si="23"/>
        <v>0</v>
      </c>
      <c r="H52" s="3">
        <f>IF(F52=0,"NA",(+E52-F52)/F52)</f>
        <v>0</v>
      </c>
      <c r="J52" s="37">
        <f>+'New Year-Full Year'!U55</f>
        <v>0</v>
      </c>
      <c r="K52" s="37">
        <f>+'New Year-Full Year'!V55</f>
        <v>150</v>
      </c>
      <c r="L52" s="3">
        <f>IF(K52=0,"NA",(+J52-K52)/K52)</f>
        <v>-1</v>
      </c>
    </row>
    <row r="53" spans="1:12" s="2" customFormat="1" x14ac:dyDescent="0.35">
      <c r="A53" s="42">
        <v>56</v>
      </c>
      <c r="B53" s="36" t="str">
        <f>+'New Year-Full Year'!B56</f>
        <v>Total Church Membership</v>
      </c>
      <c r="C53" s="36"/>
      <c r="D53" s="36"/>
      <c r="E53" s="36">
        <f>SUM(E51:E52)</f>
        <v>550</v>
      </c>
      <c r="F53" s="36">
        <f>SUM(F51:F52)</f>
        <v>550</v>
      </c>
      <c r="G53" s="36">
        <f>SUM(G51:G52)</f>
        <v>0</v>
      </c>
      <c r="H53" s="20">
        <f>IF(F53=0,"NA",(+E53-F53)/F53)</f>
        <v>0</v>
      </c>
      <c r="J53" s="36">
        <f>SUM(J51:J52)</f>
        <v>0</v>
      </c>
      <c r="K53" s="36">
        <f>SUM(K51:K52)</f>
        <v>550</v>
      </c>
      <c r="L53" s="20">
        <f>IF(K53=0,"NA",(+J53-K53)/K53)</f>
        <v>-1</v>
      </c>
    </row>
    <row r="54" spans="1:12" ht="5.25" customHeight="1" x14ac:dyDescent="0.35">
      <c r="A54" s="42">
        <v>57</v>
      </c>
      <c r="H54" s="38"/>
    </row>
    <row r="55" spans="1:12" x14ac:dyDescent="0.35">
      <c r="A55" s="42">
        <v>58</v>
      </c>
      <c r="B55" s="36" t="str">
        <f>+'New Year-Full Year'!B58</f>
        <v>Church &amp; Community Outreach</v>
      </c>
      <c r="C55" s="21"/>
      <c r="D55" s="21"/>
      <c r="E55" s="44">
        <f>+'New Year-Full Year'!P58</f>
        <v>200</v>
      </c>
      <c r="F55" s="44">
        <f>+'New Year-Full Year'!Q58</f>
        <v>200</v>
      </c>
      <c r="G55" s="36">
        <f t="shared" ref="G55" si="24">+E55-F55</f>
        <v>0</v>
      </c>
      <c r="H55" s="20">
        <f>IF(F55=0,"NA",(+E55-F55)/F55)</f>
        <v>0</v>
      </c>
      <c r="J55" s="44">
        <f>+'New Year-Full Year'!U58</f>
        <v>0</v>
      </c>
      <c r="K55" s="44">
        <f>+'New Year-Full Year'!V58</f>
        <v>200</v>
      </c>
      <c r="L55" s="20">
        <f>IF(K55=0,"NA",(+J55-K55)/K55)</f>
        <v>-1</v>
      </c>
    </row>
    <row r="56" spans="1:12" ht="19.5" customHeight="1" x14ac:dyDescent="0.35">
      <c r="A56" s="42">
        <v>60</v>
      </c>
      <c r="B56" s="881" t="str">
        <f>+'New Year-Full Year'!B59</f>
        <v>Misc Programs</v>
      </c>
      <c r="H56" s="38"/>
    </row>
    <row r="57" spans="1:12" x14ac:dyDescent="0.35">
      <c r="A57" s="42">
        <v>61</v>
      </c>
      <c r="C57" s="1" t="str">
        <f>+'New Year-Full Year'!C60</f>
        <v>Stewardship</v>
      </c>
      <c r="E57" s="37">
        <f>+'New Year-Full Year'!P60</f>
        <v>200</v>
      </c>
      <c r="F57" s="37">
        <f>+'New Year-Full Year'!Q60</f>
        <v>200</v>
      </c>
      <c r="G57" s="37">
        <f t="shared" ref="G57:G62" si="25">+E57-F57</f>
        <v>0</v>
      </c>
      <c r="H57" s="3">
        <f t="shared" ref="H57:H63" si="26">IF(F57=0,"NA",(+E57-F57)/F57)</f>
        <v>0</v>
      </c>
      <c r="J57" s="37">
        <f>+'New Year-Full Year'!U60</f>
        <v>450</v>
      </c>
      <c r="K57" s="37">
        <f>+'New Year-Full Year'!V60</f>
        <v>200</v>
      </c>
      <c r="L57" s="3">
        <f t="shared" ref="L57:L63" si="27">IF(K57=0,"NA",(+J57-K57)/K57)</f>
        <v>1.25</v>
      </c>
    </row>
    <row r="58" spans="1:12" x14ac:dyDescent="0.35">
      <c r="A58" s="42">
        <v>62</v>
      </c>
      <c r="C58" s="1" t="str">
        <f>+'New Year-Full Year'!C61</f>
        <v>Envelopes, Giving</v>
      </c>
      <c r="E58" s="37">
        <f>+'New Year-Full Year'!P61</f>
        <v>300</v>
      </c>
      <c r="F58" s="37">
        <f>+'New Year-Full Year'!Q61</f>
        <v>500</v>
      </c>
      <c r="G58" s="37">
        <f t="shared" si="25"/>
        <v>-200</v>
      </c>
      <c r="H58" s="3">
        <f t="shared" si="26"/>
        <v>-0.4</v>
      </c>
      <c r="J58" s="37">
        <f>+'New Year-Full Year'!U61</f>
        <v>338.56</v>
      </c>
      <c r="K58" s="37">
        <f>+'New Year-Full Year'!V61</f>
        <v>500</v>
      </c>
      <c r="L58" s="3">
        <f t="shared" si="27"/>
        <v>-0.32288</v>
      </c>
    </row>
    <row r="59" spans="1:12" x14ac:dyDescent="0.35">
      <c r="A59" s="42">
        <v>63</v>
      </c>
      <c r="C59" s="1" t="str">
        <f>+'New Year-Full Year'!C63</f>
        <v>Synod Assembly</v>
      </c>
      <c r="E59" s="37">
        <f>+'New Year-Full Year'!P63</f>
        <v>1000</v>
      </c>
      <c r="F59" s="37">
        <f>+'New Year-Full Year'!Q63</f>
        <v>1000</v>
      </c>
      <c r="G59" s="37">
        <f t="shared" si="25"/>
        <v>0</v>
      </c>
      <c r="H59" s="3">
        <f t="shared" si="26"/>
        <v>0</v>
      </c>
      <c r="J59" s="37">
        <f>+'New Year-Full Year'!U63</f>
        <v>654</v>
      </c>
      <c r="K59" s="37">
        <f>+'New Year-Full Year'!V63</f>
        <v>1000</v>
      </c>
      <c r="L59" s="3">
        <f t="shared" si="27"/>
        <v>-0.34599999999999997</v>
      </c>
    </row>
    <row r="60" spans="1:12" x14ac:dyDescent="0.35">
      <c r="A60" s="42">
        <v>64</v>
      </c>
      <c r="C60" s="1" t="str">
        <f>+'New Year-Full Year'!C64</f>
        <v>Evangelism</v>
      </c>
      <c r="E60" s="37">
        <f>+'New Year-Full Year'!P64</f>
        <v>2000</v>
      </c>
      <c r="F60" s="37">
        <f>+'New Year-Full Year'!Q64</f>
        <v>3000</v>
      </c>
      <c r="G60" s="37">
        <f t="shared" si="25"/>
        <v>-1000</v>
      </c>
      <c r="H60" s="3">
        <f t="shared" si="26"/>
        <v>-0.33333333333333331</v>
      </c>
      <c r="J60" s="37">
        <f>+'New Year-Full Year'!U64</f>
        <v>322.07</v>
      </c>
      <c r="K60" s="37">
        <f>+'New Year-Full Year'!V64</f>
        <v>3000</v>
      </c>
      <c r="L60" s="3">
        <f t="shared" si="27"/>
        <v>-0.89264333333333323</v>
      </c>
    </row>
    <row r="61" spans="1:12" x14ac:dyDescent="0.35">
      <c r="C61" s="1" t="str">
        <f>+'New Year-Full Year'!C65</f>
        <v>Other Programs</v>
      </c>
      <c r="E61" s="37">
        <f>+'New Year-Full Year'!P65</f>
        <v>200</v>
      </c>
      <c r="F61" s="37">
        <f>+'New Year-Full Year'!Q65</f>
        <v>200</v>
      </c>
      <c r="G61" s="37">
        <f t="shared" si="25"/>
        <v>0</v>
      </c>
      <c r="H61" s="3">
        <f>IF(F61=0,"NA",(+E61-F61)/F61)</f>
        <v>0</v>
      </c>
      <c r="J61" s="37">
        <f>+'New Year-Full Year'!U65</f>
        <v>0</v>
      </c>
      <c r="K61" s="37">
        <f>+'New Year-Full Year'!V65</f>
        <v>200</v>
      </c>
      <c r="L61" s="3">
        <f>IF(K61=0,"NA",(+J61-K61)/K61)</f>
        <v>-1</v>
      </c>
    </row>
    <row r="62" spans="1:12" x14ac:dyDescent="0.35">
      <c r="A62" s="42">
        <v>65</v>
      </c>
      <c r="C62" s="1" t="str">
        <f>+'New Year-Full Year'!C66</f>
        <v>Organ/Piano Maintenance</v>
      </c>
      <c r="E62" s="37">
        <f>+'New Year-Full Year'!P66</f>
        <v>1484</v>
      </c>
      <c r="F62" s="37">
        <f>+'New Year-Full Year'!Q66</f>
        <v>1575</v>
      </c>
      <c r="G62" s="37">
        <f t="shared" si="25"/>
        <v>-91</v>
      </c>
      <c r="H62" s="3">
        <f t="shared" si="26"/>
        <v>-5.7777777777777775E-2</v>
      </c>
      <c r="J62" s="37">
        <f>+'New Year-Full Year'!U66</f>
        <v>1146.25</v>
      </c>
      <c r="K62" s="37">
        <f>+'New Year-Full Year'!V66</f>
        <v>1575</v>
      </c>
      <c r="L62" s="3">
        <f t="shared" si="27"/>
        <v>-0.2722222222222222</v>
      </c>
    </row>
    <row r="63" spans="1:12" s="2" customFormat="1" x14ac:dyDescent="0.35">
      <c r="A63" s="42">
        <v>66</v>
      </c>
      <c r="B63" s="36" t="str">
        <f>+'New Year-Full Year'!B67</f>
        <v>Total Misc Programs</v>
      </c>
      <c r="C63" s="36"/>
      <c r="D63" s="36"/>
      <c r="E63" s="36">
        <f>SUM(E57:E62)</f>
        <v>5184</v>
      </c>
      <c r="F63" s="36">
        <f>SUM(F57:F62)</f>
        <v>6475</v>
      </c>
      <c r="G63" s="36">
        <f>SUM(G57:G62)</f>
        <v>-1291</v>
      </c>
      <c r="H63" s="20">
        <f t="shared" si="26"/>
        <v>-0.1993822393822394</v>
      </c>
      <c r="J63" s="36">
        <f>SUM(J57:J62)</f>
        <v>2910.88</v>
      </c>
      <c r="K63" s="36">
        <f>SUM(K57:K62)</f>
        <v>6475</v>
      </c>
      <c r="L63" s="20">
        <f t="shared" si="27"/>
        <v>-0.55044324324324323</v>
      </c>
    </row>
    <row r="64" spans="1:12" ht="19.5" customHeight="1" x14ac:dyDescent="0.35">
      <c r="A64" s="42">
        <v>68</v>
      </c>
      <c r="B64" s="881" t="str">
        <f>+'New Year-Full Year'!B68</f>
        <v>Office Expense</v>
      </c>
      <c r="H64" s="38"/>
    </row>
    <row r="65" spans="1:13" x14ac:dyDescent="0.35">
      <c r="A65" s="42">
        <v>69</v>
      </c>
      <c r="C65" s="1" t="str">
        <f>+'New Year-Full Year'!C69</f>
        <v>Office Supplies</v>
      </c>
      <c r="E65" s="37">
        <f>+'New Year-Full Year'!P69</f>
        <v>2500</v>
      </c>
      <c r="F65" s="37">
        <f>+'New Year-Full Year'!Q69</f>
        <v>3500</v>
      </c>
      <c r="G65" s="37">
        <f t="shared" ref="G65:G70" si="28">+E65-F65</f>
        <v>-1000</v>
      </c>
      <c r="H65" s="3">
        <f t="shared" ref="H65:H72" si="29">IF(F65=0,"NA",(+E65-F65)/F65)</f>
        <v>-0.2857142857142857</v>
      </c>
      <c r="J65" s="37">
        <f>+'New Year-Full Year'!U69</f>
        <v>2199.56</v>
      </c>
      <c r="K65" s="37">
        <f>+'New Year-Full Year'!V69</f>
        <v>3500</v>
      </c>
      <c r="L65" s="3">
        <f t="shared" ref="L65:L72" si="30">IF(K65=0,"NA",(+J65-K65)/K65)</f>
        <v>-0.37155428571428573</v>
      </c>
    </row>
    <row r="66" spans="1:13" x14ac:dyDescent="0.35">
      <c r="A66" s="42">
        <v>70</v>
      </c>
      <c r="C66" s="1" t="str">
        <f>+'New Year-Full Year'!C70</f>
        <v>Postage</v>
      </c>
      <c r="E66" s="37">
        <f>+'New Year-Full Year'!P70</f>
        <v>2300</v>
      </c>
      <c r="F66" s="37">
        <f>+'New Year-Full Year'!Q70</f>
        <v>2250</v>
      </c>
      <c r="G66" s="37">
        <f t="shared" si="28"/>
        <v>50</v>
      </c>
      <c r="H66" s="3">
        <f t="shared" si="29"/>
        <v>2.2222222222222223E-2</v>
      </c>
      <c r="J66" s="37">
        <f>+'New Year-Full Year'!U70</f>
        <v>2403.44</v>
      </c>
      <c r="K66" s="37">
        <f>+'New Year-Full Year'!V70</f>
        <v>2250</v>
      </c>
      <c r="L66" s="3">
        <f t="shared" si="30"/>
        <v>6.8195555555555579E-2</v>
      </c>
    </row>
    <row r="67" spans="1:13" x14ac:dyDescent="0.35">
      <c r="A67" s="42">
        <v>73</v>
      </c>
      <c r="C67" s="1" t="str">
        <f>+'New Year-Full Year'!C71</f>
        <v>Office Equipment/Computer</v>
      </c>
      <c r="E67" s="37">
        <f>+'New Year-Full Year'!P71</f>
        <v>11000</v>
      </c>
      <c r="F67" s="37">
        <f>+'New Year-Full Year'!Q71</f>
        <v>13000</v>
      </c>
      <c r="G67" s="37">
        <f t="shared" si="28"/>
        <v>-2000</v>
      </c>
      <c r="H67" s="3">
        <f t="shared" si="29"/>
        <v>-0.15384615384615385</v>
      </c>
      <c r="J67" s="37">
        <f>+'New Year-Full Year'!U71</f>
        <v>11367.2</v>
      </c>
      <c r="K67" s="37">
        <f>+'New Year-Full Year'!V71</f>
        <v>13000</v>
      </c>
      <c r="L67" s="3">
        <f t="shared" si="30"/>
        <v>-0.12559999999999993</v>
      </c>
    </row>
    <row r="68" spans="1:13" x14ac:dyDescent="0.35">
      <c r="A68" s="42">
        <v>74</v>
      </c>
      <c r="C68" s="1" t="str">
        <f>+'New Year-Full Year'!C73</f>
        <v>Kitchen Supplies</v>
      </c>
      <c r="E68" s="37">
        <f>+'New Year-Full Year'!P73</f>
        <v>800</v>
      </c>
      <c r="F68" s="37">
        <f>+'New Year-Full Year'!Q73</f>
        <v>1200</v>
      </c>
      <c r="G68" s="37">
        <f t="shared" si="28"/>
        <v>-400</v>
      </c>
      <c r="H68" s="3">
        <f t="shared" si="29"/>
        <v>-0.33333333333333331</v>
      </c>
      <c r="J68" s="37">
        <f>+'New Year-Full Year'!U73</f>
        <v>0</v>
      </c>
      <c r="K68" s="37">
        <f>+'New Year-Full Year'!V73</f>
        <v>1200</v>
      </c>
      <c r="L68" s="3">
        <f t="shared" si="30"/>
        <v>-1</v>
      </c>
    </row>
    <row r="69" spans="1:13" x14ac:dyDescent="0.35">
      <c r="A69" s="42">
        <v>75</v>
      </c>
      <c r="C69" s="1" t="str">
        <f>+'New Year-Full Year'!C74</f>
        <v>Bank Fees</v>
      </c>
      <c r="E69" s="37">
        <f>+'New Year-Full Year'!P74</f>
        <v>1700</v>
      </c>
      <c r="F69" s="37">
        <f>+'New Year-Full Year'!Q74</f>
        <v>1700</v>
      </c>
      <c r="G69" s="37">
        <f t="shared" si="28"/>
        <v>0</v>
      </c>
      <c r="H69" s="3">
        <f t="shared" si="29"/>
        <v>0</v>
      </c>
      <c r="J69" s="37">
        <f>+'New Year-Full Year'!U74</f>
        <v>1709.1</v>
      </c>
      <c r="K69" s="37">
        <f>+'New Year-Full Year'!V74</f>
        <v>1700</v>
      </c>
      <c r="L69" s="3">
        <f t="shared" si="30"/>
        <v>5.3529411764705343E-3</v>
      </c>
    </row>
    <row r="70" spans="1:13" x14ac:dyDescent="0.35">
      <c r="A70" s="42">
        <v>76</v>
      </c>
      <c r="C70" s="1" t="str">
        <f>+'New Year-Full Year'!C75</f>
        <v>Professional Fees</v>
      </c>
      <c r="E70" s="37">
        <f>+'New Year-Full Year'!P75</f>
        <v>1000</v>
      </c>
      <c r="F70" s="37">
        <f>+'New Year-Full Year'!Q75</f>
        <v>2500</v>
      </c>
      <c r="G70" s="37">
        <f t="shared" si="28"/>
        <v>-1500</v>
      </c>
      <c r="H70" s="3">
        <f>IF(F70=0,"NA",(+E70-F70)/F70)</f>
        <v>-0.6</v>
      </c>
      <c r="J70" s="37">
        <f>+'New Year-Full Year'!U75</f>
        <v>500</v>
      </c>
      <c r="K70" s="37">
        <f>+'New Year-Full Year'!V75</f>
        <v>2500</v>
      </c>
      <c r="L70" s="3">
        <f>IF(K70=0,"NA",(+J70-K70)/K70)</f>
        <v>-0.8</v>
      </c>
    </row>
    <row r="71" spans="1:13" s="2" customFormat="1" x14ac:dyDescent="0.35">
      <c r="A71" s="42">
        <v>76</v>
      </c>
      <c r="B71" s="36" t="str">
        <f>+'New Year-Full Year'!B77</f>
        <v>Total Office Expense</v>
      </c>
      <c r="C71" s="36"/>
      <c r="D71" s="36"/>
      <c r="E71" s="36">
        <f>SUM(E65:E70)</f>
        <v>19300</v>
      </c>
      <c r="F71" s="36">
        <f>SUM(F65:F70)</f>
        <v>24150</v>
      </c>
      <c r="G71" s="36">
        <f>SUM(G65:G70)</f>
        <v>-4850</v>
      </c>
      <c r="H71" s="20">
        <f t="shared" si="29"/>
        <v>-0.20082815734989648</v>
      </c>
      <c r="J71" s="36">
        <f>SUM(J65:J70)</f>
        <v>18179.3</v>
      </c>
      <c r="K71" s="36">
        <f>SUM(K65:K70)</f>
        <v>24150</v>
      </c>
      <c r="L71" s="20">
        <f t="shared" si="30"/>
        <v>-0.24723395445134577</v>
      </c>
    </row>
    <row r="72" spans="1:13" x14ac:dyDescent="0.35">
      <c r="A72" s="42">
        <v>77</v>
      </c>
      <c r="B72" s="36" t="str">
        <f>+'New Year-Full Year'!B78</f>
        <v>TOTAL PROGRAMS</v>
      </c>
      <c r="C72" s="22"/>
      <c r="D72" s="22"/>
      <c r="E72" s="36">
        <f>+E42+E47+E49+E55+E63+E71+E53</f>
        <v>41084</v>
      </c>
      <c r="F72" s="36">
        <f>+F42+F47+F49+F55+F63+F71+F53</f>
        <v>52825</v>
      </c>
      <c r="G72" s="36">
        <f>+G42+G47+G49+G55+G63+G71+G53</f>
        <v>-11741</v>
      </c>
      <c r="H72" s="20">
        <f t="shared" si="29"/>
        <v>-0.22226218646474208</v>
      </c>
      <c r="J72" s="36">
        <f>+J42+J47+J49+J55+J63+J71+J53</f>
        <v>28015.22</v>
      </c>
      <c r="K72" s="36">
        <f>+K42+K47+K49+K55+K63+K71+K53</f>
        <v>52825</v>
      </c>
      <c r="L72" s="20">
        <f t="shared" si="30"/>
        <v>-0.46965982016090863</v>
      </c>
    </row>
    <row r="73" spans="1:13" ht="23" customHeight="1" x14ac:dyDescent="0.35">
      <c r="A73" s="42">
        <v>79</v>
      </c>
      <c r="B73" s="6" t="s">
        <v>34</v>
      </c>
      <c r="H73" s="38"/>
    </row>
    <row r="74" spans="1:13" hidden="1" x14ac:dyDescent="0.35">
      <c r="B74" s="2" t="s">
        <v>316</v>
      </c>
      <c r="H74" s="38"/>
    </row>
    <row r="75" spans="1:13" hidden="1" x14ac:dyDescent="0.35">
      <c r="A75" s="42">
        <v>81</v>
      </c>
      <c r="C75" s="902" t="s">
        <v>383</v>
      </c>
      <c r="D75" s="902"/>
      <c r="E75" s="37">
        <f>+'New Year-Full Year'!P$81+'New Year-Full Year'!P$106+'New Year-Full Year'!P$121+SUM('New Year-Full Year'!P$123:P$126)+SUM('New Year-Full Year'!P$132:P$133)+'New Year-Full Year'!P$136</f>
        <v>206313</v>
      </c>
      <c r="F75" s="37">
        <f>+'New Year-Full Year'!Q$81+'New Year-Full Year'!Q$106+'New Year-Full Year'!Q$121+SUM('New Year-Full Year'!Q$123:Q$126)+SUM('New Year-Full Year'!Q$132:Q$133)+'New Year-Full Year'!Q$136</f>
        <v>213262</v>
      </c>
      <c r="G75" s="37">
        <f t="shared" ref="G75:G76" si="31">+E75-F75</f>
        <v>-6949</v>
      </c>
      <c r="H75" s="3">
        <f>IF(F75=0,"NA",(+E75-F75)/F75)</f>
        <v>-3.258433288630886E-2</v>
      </c>
      <c r="J75" s="37">
        <f>+'New Year-Full Year'!U$81+'New Year-Full Year'!U$106+'New Year-Full Year'!U$121+SUM('New Year-Full Year'!U$123:U$126)+SUM('New Year-Full Year'!U$132:U$133)+'New Year-Full Year'!U$136</f>
        <v>168885.58000000002</v>
      </c>
      <c r="K75" s="37">
        <f>+'New Year-Full Year'!V$81+'New Year-Full Year'!V$106+'New Year-Full Year'!V$121+SUM('New Year-Full Year'!V$123:V$126)+SUM('New Year-Full Year'!V$132:V$133)+'New Year-Full Year'!V$136</f>
        <v>213262</v>
      </c>
      <c r="L75" s="3">
        <f>IF(K75=0,"NA",(+J75-K75)/K75)</f>
        <v>-0.20808404685316645</v>
      </c>
    </row>
    <row r="76" spans="1:13" hidden="1" x14ac:dyDescent="0.35">
      <c r="A76" s="42">
        <v>83</v>
      </c>
      <c r="C76" s="1" t="s">
        <v>97</v>
      </c>
      <c r="E76" s="37">
        <f>SUM('New Year-Full Year'!P83:P91)+'New Year-Full Year'!P130+'New Year-Full Year'!P131+'New Year-Full Year'!P134+'New Year-Full Year'!P135</f>
        <v>45035</v>
      </c>
      <c r="F76" s="37">
        <f>SUM('New Year-Full Year'!Q83:Q91)+'New Year-Full Year'!Q130+'New Year-Full Year'!Q131+'New Year-Full Year'!Q134+'New Year-Full Year'!Q135</f>
        <v>42952</v>
      </c>
      <c r="G76" s="37">
        <f t="shared" si="31"/>
        <v>2083</v>
      </c>
      <c r="H76" s="3">
        <f>IF(F76=0,"NA",(+E76-F76)/F76)</f>
        <v>4.8495995529893837E-2</v>
      </c>
      <c r="J76" s="37">
        <f>SUM('New Year-Full Year'!U83:U91)+'New Year-Full Year'!U130+'New Year-Full Year'!U131+'New Year-Full Year'!U134+'New Year-Full Year'!U135</f>
        <v>35283.229999999996</v>
      </c>
      <c r="K76" s="37">
        <f>SUM('New Year-Full Year'!V83:V91)+'New Year-Full Year'!V130+'New Year-Full Year'!V131+'New Year-Full Year'!V134+'New Year-Full Year'!V135</f>
        <v>42952</v>
      </c>
      <c r="L76" s="3">
        <f>IF(K76=0,"NA",(+J76-K76)/K76)</f>
        <v>-0.17854279195380901</v>
      </c>
      <c r="M76" s="300"/>
    </row>
    <row r="77" spans="1:13" hidden="1" x14ac:dyDescent="0.35">
      <c r="B77" s="2" t="s">
        <v>317</v>
      </c>
      <c r="D77" s="2" t="s">
        <v>384</v>
      </c>
      <c r="E77" s="37"/>
      <c r="F77" s="37"/>
      <c r="G77" s="37"/>
      <c r="H77" s="3"/>
      <c r="J77" s="37"/>
      <c r="K77" s="37"/>
      <c r="L77" s="3"/>
      <c r="M77" s="300"/>
    </row>
    <row r="78" spans="1:13" hidden="1" x14ac:dyDescent="0.35">
      <c r="C78" s="902" t="s">
        <v>318</v>
      </c>
      <c r="D78" s="902"/>
      <c r="E78" s="37">
        <f>'New Year-Full Year'!P$104</f>
        <v>88773</v>
      </c>
      <c r="F78" s="37">
        <f>'New Year-Full Year'!Q$104</f>
        <v>86398</v>
      </c>
      <c r="G78" s="37">
        <f t="shared" ref="G78" si="32">+E78-F78</f>
        <v>2375</v>
      </c>
      <c r="H78" s="3">
        <f>IF(F78=0,"NA",(+E78-F78)/F78)</f>
        <v>2.7489062246811267E-2</v>
      </c>
      <c r="J78" s="37">
        <f>'New Year-Full Year'!U$104</f>
        <v>83794.92</v>
      </c>
      <c r="K78" s="37">
        <f>'New Year-Full Year'!V$104</f>
        <v>86398</v>
      </c>
      <c r="L78" s="3">
        <f>IF(K78=0,"NA",(+J78-K78)/K78)</f>
        <v>-3.0128938169865064E-2</v>
      </c>
      <c r="M78" s="300"/>
    </row>
    <row r="79" spans="1:13" s="2" customFormat="1" x14ac:dyDescent="0.35">
      <c r="A79" s="42">
        <v>86</v>
      </c>
      <c r="B79" s="23" t="s">
        <v>385</v>
      </c>
      <c r="C79" s="23"/>
      <c r="D79" s="23"/>
      <c r="E79" s="23">
        <f>SUM(E75:E78)</f>
        <v>340121</v>
      </c>
      <c r="F79" s="23">
        <f>SUM(F75:F78)</f>
        <v>342612</v>
      </c>
      <c r="G79" s="23">
        <f t="shared" ref="G79" si="33">+E79-F79</f>
        <v>-2491</v>
      </c>
      <c r="H79" s="24">
        <f>IF(F79=0,"NA",(+E79-F79)/F79)</f>
        <v>-7.2706151565035664E-3</v>
      </c>
      <c r="J79" s="23">
        <f>SUM(J75:J78)</f>
        <v>287963.73</v>
      </c>
      <c r="K79" s="23">
        <f>SUM(K75:K78)</f>
        <v>342612</v>
      </c>
      <c r="L79" s="24">
        <f>IF(K79=0,"NA",(+J79-K79)/K79)</f>
        <v>-0.15950483345592104</v>
      </c>
      <c r="M79" s="301"/>
    </row>
    <row r="80" spans="1:13" ht="23" customHeight="1" x14ac:dyDescent="0.35">
      <c r="A80" s="42">
        <v>130</v>
      </c>
      <c r="B80" s="6" t="str">
        <f>+'New Year-Full Year'!B139</f>
        <v>Facilities</v>
      </c>
      <c r="H80" s="38"/>
    </row>
    <row r="81" spans="1:12" ht="19.5" customHeight="1" x14ac:dyDescent="0.35">
      <c r="A81" s="42">
        <v>131</v>
      </c>
      <c r="B81" s="881" t="str">
        <f>+'New Year-Full Year'!B140</f>
        <v>Utilities</v>
      </c>
      <c r="H81" s="38"/>
    </row>
    <row r="82" spans="1:12" x14ac:dyDescent="0.35">
      <c r="A82" s="42">
        <v>132</v>
      </c>
      <c r="C82" s="1" t="str">
        <f>+'New Year-Full Year'!C141</f>
        <v>Electric</v>
      </c>
      <c r="E82" s="37">
        <f>+'New Year-Full Year'!P141</f>
        <v>11000</v>
      </c>
      <c r="F82" s="37">
        <f>+'New Year-Full Year'!Q141</f>
        <v>12000</v>
      </c>
      <c r="G82" s="37">
        <f t="shared" ref="G82:G87" si="34">+E82-F82</f>
        <v>-1000</v>
      </c>
      <c r="H82" s="3">
        <f t="shared" ref="H82:H88" si="35">IF(F82=0,"NA",(+E82-F82)/F82)</f>
        <v>-8.3333333333333329E-2</v>
      </c>
      <c r="J82" s="37">
        <f>+'New Year-Full Year'!U141</f>
        <v>10053.19</v>
      </c>
      <c r="K82" s="37">
        <f>+'New Year-Full Year'!V141</f>
        <v>12000</v>
      </c>
      <c r="L82" s="3">
        <f t="shared" ref="L82:L88" si="36">IF(K82=0,"NA",(+J82-K82)/K82)</f>
        <v>-0.16223416666666662</v>
      </c>
    </row>
    <row r="83" spans="1:12" x14ac:dyDescent="0.35">
      <c r="A83" s="42">
        <v>133</v>
      </c>
      <c r="C83" s="1" t="str">
        <f>+'New Year-Full Year'!C142</f>
        <v>Gas</v>
      </c>
      <c r="E83" s="37">
        <f>+'New Year-Full Year'!P142</f>
        <v>8400</v>
      </c>
      <c r="F83" s="37">
        <f>+'New Year-Full Year'!Q142</f>
        <v>10000</v>
      </c>
      <c r="G83" s="37">
        <f t="shared" si="34"/>
        <v>-1600</v>
      </c>
      <c r="H83" s="3">
        <f t="shared" si="35"/>
        <v>-0.16</v>
      </c>
      <c r="J83" s="37">
        <f>+'New Year-Full Year'!U142</f>
        <v>8400</v>
      </c>
      <c r="K83" s="37">
        <f>+'New Year-Full Year'!V142</f>
        <v>10000</v>
      </c>
      <c r="L83" s="3">
        <f t="shared" si="36"/>
        <v>-0.16</v>
      </c>
    </row>
    <row r="84" spans="1:12" x14ac:dyDescent="0.35">
      <c r="A84" s="42">
        <v>134</v>
      </c>
      <c r="C84" s="1" t="str">
        <f>+'New Year-Full Year'!C143</f>
        <v>Telephone</v>
      </c>
      <c r="E84" s="37">
        <f>+'New Year-Full Year'!P143</f>
        <v>4800</v>
      </c>
      <c r="F84" s="37">
        <f>+'New Year-Full Year'!Q143</f>
        <v>4400</v>
      </c>
      <c r="G84" s="37">
        <f t="shared" si="34"/>
        <v>400</v>
      </c>
      <c r="H84" s="3">
        <f t="shared" si="35"/>
        <v>9.0909090909090912E-2</v>
      </c>
      <c r="J84" s="37">
        <f>+'New Year-Full Year'!U143</f>
        <v>4754.82</v>
      </c>
      <c r="K84" s="37">
        <f>+'New Year-Full Year'!V143</f>
        <v>4400</v>
      </c>
      <c r="L84" s="3">
        <f t="shared" si="36"/>
        <v>8.0640909090909027E-2</v>
      </c>
    </row>
    <row r="85" spans="1:12" x14ac:dyDescent="0.35">
      <c r="A85" s="42">
        <v>135</v>
      </c>
      <c r="C85" s="1" t="str">
        <f>+'New Year-Full Year'!C144</f>
        <v>Water</v>
      </c>
      <c r="E85" s="37">
        <f>+'New Year-Full Year'!P144</f>
        <v>1800</v>
      </c>
      <c r="F85" s="37">
        <f>+'New Year-Full Year'!Q144</f>
        <v>1000</v>
      </c>
      <c r="G85" s="37">
        <f t="shared" si="34"/>
        <v>800</v>
      </c>
      <c r="H85" s="3">
        <f t="shared" si="35"/>
        <v>0.8</v>
      </c>
      <c r="J85" s="37">
        <f>+'New Year-Full Year'!U144</f>
        <v>1201.98</v>
      </c>
      <c r="K85" s="37">
        <f>+'New Year-Full Year'!V144</f>
        <v>1000</v>
      </c>
      <c r="L85" s="3">
        <f t="shared" si="36"/>
        <v>0.20198000000000002</v>
      </c>
    </row>
    <row r="86" spans="1:12" x14ac:dyDescent="0.35">
      <c r="A86" s="42">
        <v>136</v>
      </c>
      <c r="C86" s="1" t="str">
        <f>+'New Year-Full Year'!C145</f>
        <v>Security</v>
      </c>
      <c r="E86" s="37">
        <f>+'New Year-Full Year'!P145</f>
        <v>350</v>
      </c>
      <c r="F86" s="37">
        <f>+'New Year-Full Year'!Q145</f>
        <v>350</v>
      </c>
      <c r="G86" s="37">
        <f t="shared" si="34"/>
        <v>0</v>
      </c>
      <c r="H86" s="3">
        <f t="shared" si="35"/>
        <v>0</v>
      </c>
      <c r="J86" s="37">
        <f>+'New Year-Full Year'!U145</f>
        <v>263.39999999999998</v>
      </c>
      <c r="K86" s="37">
        <f>+'New Year-Full Year'!V145</f>
        <v>350</v>
      </c>
      <c r="L86" s="3">
        <f t="shared" si="36"/>
        <v>-0.2474285714285715</v>
      </c>
    </row>
    <row r="87" spans="1:12" x14ac:dyDescent="0.35">
      <c r="A87" s="42">
        <v>138</v>
      </c>
      <c r="C87" s="1" t="str">
        <f>+'New Year-Full Year'!C146</f>
        <v>City Assessment</v>
      </c>
      <c r="E87" s="37">
        <f>+'New Year-Full Year'!P146</f>
        <v>6052</v>
      </c>
      <c r="F87" s="37">
        <f>+'New Year-Full Year'!Q146</f>
        <v>5200</v>
      </c>
      <c r="G87" s="37">
        <f t="shared" si="34"/>
        <v>852</v>
      </c>
      <c r="H87" s="3">
        <f t="shared" si="35"/>
        <v>0.16384615384615384</v>
      </c>
      <c r="J87" s="37">
        <f>+'New Year-Full Year'!U146</f>
        <v>5922.54</v>
      </c>
      <c r="K87" s="37">
        <f>+'New Year-Full Year'!V146</f>
        <v>5200</v>
      </c>
      <c r="L87" s="3">
        <f t="shared" si="36"/>
        <v>0.13894999999999999</v>
      </c>
    </row>
    <row r="88" spans="1:12" s="2" customFormat="1" x14ac:dyDescent="0.35">
      <c r="A88" s="42">
        <v>139</v>
      </c>
      <c r="B88" s="26" t="str">
        <f>+'New Year-Full Year'!B147</f>
        <v>Total Utilities</v>
      </c>
      <c r="C88" s="26"/>
      <c r="D88" s="26"/>
      <c r="E88" s="26">
        <f>SUM(E82:E87)</f>
        <v>32402</v>
      </c>
      <c r="F88" s="26">
        <f>SUM(F82:F87)</f>
        <v>32950</v>
      </c>
      <c r="G88" s="26">
        <f>SUM(G82:G87)</f>
        <v>-548</v>
      </c>
      <c r="H88" s="27">
        <f t="shared" si="35"/>
        <v>-1.6631259484066768E-2</v>
      </c>
      <c r="J88" s="26">
        <f>SUM(J82:J87)</f>
        <v>30595.930000000004</v>
      </c>
      <c r="K88" s="26">
        <f>SUM(K82:K87)</f>
        <v>32950</v>
      </c>
      <c r="L88" s="27">
        <f t="shared" si="36"/>
        <v>-7.1443702579666035E-2</v>
      </c>
    </row>
    <row r="89" spans="1:12" ht="19.5" customHeight="1" x14ac:dyDescent="0.35">
      <c r="A89" s="42">
        <v>141</v>
      </c>
      <c r="B89" s="881" t="str">
        <f>+'New Year-Full Year'!B148</f>
        <v>Church Maintenance</v>
      </c>
      <c r="H89" s="38"/>
    </row>
    <row r="90" spans="1:12" x14ac:dyDescent="0.35">
      <c r="A90" s="42">
        <v>142</v>
      </c>
      <c r="C90" s="1" t="str">
        <f>+'New Year-Full Year'!C149</f>
        <v>Insurance</v>
      </c>
      <c r="E90" s="37">
        <f>+'New Year-Full Year'!P149</f>
        <v>13400</v>
      </c>
      <c r="F90" s="37">
        <f>+'New Year-Full Year'!Q149</f>
        <v>12758</v>
      </c>
      <c r="G90" s="37">
        <f t="shared" ref="G90:G94" si="37">+E90-F90</f>
        <v>642</v>
      </c>
      <c r="H90" s="3">
        <f t="shared" ref="H90:H97" si="38">IF(F90=0,"NA",(+E90-F90)/F90)</f>
        <v>5.0321366985420911E-2</v>
      </c>
      <c r="J90" s="37">
        <f>+'New Year-Full Year'!U149</f>
        <v>12918.25</v>
      </c>
      <c r="K90" s="37">
        <f>+'New Year-Full Year'!V149</f>
        <v>12758</v>
      </c>
      <c r="L90" s="3">
        <f t="shared" ref="L90:L97" si="39">IF(K90=0,"NA",(+J90-K90)/K90)</f>
        <v>1.2560746198463708E-2</v>
      </c>
    </row>
    <row r="91" spans="1:12" x14ac:dyDescent="0.35">
      <c r="A91" s="42">
        <v>143</v>
      </c>
      <c r="C91" s="1" t="str">
        <f>+'New Year-Full Year'!C151</f>
        <v>Snow Removal</v>
      </c>
      <c r="E91" s="37">
        <f>+'New Year-Full Year'!P151</f>
        <v>6000</v>
      </c>
      <c r="F91" s="37">
        <f>+'New Year-Full Year'!Q151</f>
        <v>5000</v>
      </c>
      <c r="G91" s="37">
        <f t="shared" si="37"/>
        <v>1000</v>
      </c>
      <c r="H91" s="3">
        <f t="shared" si="38"/>
        <v>0.2</v>
      </c>
      <c r="J91" s="37">
        <f>+'New Year-Full Year'!U151</f>
        <v>4683.2</v>
      </c>
      <c r="K91" s="37">
        <f>+'New Year-Full Year'!V151</f>
        <v>5000</v>
      </c>
      <c r="L91" s="3">
        <f t="shared" si="39"/>
        <v>-6.3360000000000041E-2</v>
      </c>
    </row>
    <row r="92" spans="1:12" x14ac:dyDescent="0.35">
      <c r="A92" s="42">
        <v>144</v>
      </c>
      <c r="C92" s="1" t="str">
        <f>+'New Year-Full Year'!C152</f>
        <v>Maint.  Supplies</v>
      </c>
      <c r="E92" s="37">
        <f>+'New Year-Full Year'!P152</f>
        <v>4500</v>
      </c>
      <c r="F92" s="37">
        <f>+'New Year-Full Year'!Q152</f>
        <v>4500</v>
      </c>
      <c r="G92" s="37">
        <f t="shared" si="37"/>
        <v>0</v>
      </c>
      <c r="H92" s="3">
        <f t="shared" si="38"/>
        <v>0</v>
      </c>
      <c r="J92" s="37">
        <f>+'New Year-Full Year'!U152</f>
        <v>2648.28</v>
      </c>
      <c r="K92" s="37">
        <f>+'New Year-Full Year'!V152</f>
        <v>4500</v>
      </c>
      <c r="L92" s="3">
        <f t="shared" si="39"/>
        <v>-0.41149333333333327</v>
      </c>
    </row>
    <row r="93" spans="1:12" ht="15" customHeight="1" x14ac:dyDescent="0.35">
      <c r="A93" s="42">
        <v>145</v>
      </c>
      <c r="C93" s="1" t="str">
        <f>+'New Year-Full Year'!C153</f>
        <v>Maintenance Contracts</v>
      </c>
      <c r="D93" s="73"/>
      <c r="E93" s="37">
        <f>+'New Year-Full Year'!P153</f>
        <v>6000</v>
      </c>
      <c r="F93" s="37">
        <f>+'New Year-Full Year'!Q153</f>
        <v>6000</v>
      </c>
      <c r="G93" s="37">
        <f t="shared" si="37"/>
        <v>0</v>
      </c>
      <c r="H93" s="3">
        <f t="shared" si="38"/>
        <v>0</v>
      </c>
      <c r="J93" s="37">
        <f>+'New Year-Full Year'!U153</f>
        <v>5481.02</v>
      </c>
      <c r="K93" s="37">
        <f>+'New Year-Full Year'!V153</f>
        <v>6000</v>
      </c>
      <c r="L93" s="3">
        <f t="shared" si="39"/>
        <v>-8.6496666666666597E-2</v>
      </c>
    </row>
    <row r="94" spans="1:12" x14ac:dyDescent="0.35">
      <c r="A94" s="42">
        <v>146</v>
      </c>
      <c r="C94" s="1" t="str">
        <f>+'New Year-Full Year'!C154</f>
        <v>Building Repairs</v>
      </c>
      <c r="E94" s="37">
        <f>+'New Year-Full Year'!P154</f>
        <v>10000</v>
      </c>
      <c r="F94" s="37">
        <f>+'New Year-Full Year'!Q154</f>
        <v>10000</v>
      </c>
      <c r="G94" s="37">
        <f t="shared" si="37"/>
        <v>0</v>
      </c>
      <c r="H94" s="3">
        <f t="shared" si="38"/>
        <v>0</v>
      </c>
      <c r="J94" s="37">
        <f>+'New Year-Full Year'!U154</f>
        <v>4220.92</v>
      </c>
      <c r="K94" s="37">
        <f>+'New Year-Full Year'!V154</f>
        <v>10000</v>
      </c>
      <c r="L94" s="3">
        <f t="shared" si="39"/>
        <v>-0.57790799999999998</v>
      </c>
    </row>
    <row r="95" spans="1:12" hidden="1" x14ac:dyDescent="0.35">
      <c r="A95" s="42">
        <v>149</v>
      </c>
      <c r="C95" s="1" t="str">
        <f>+'New Year-Full Year'!C155</f>
        <v>Interest-Line of Credit</v>
      </c>
      <c r="E95" s="37">
        <f>+'New Year-Full Year'!P155</f>
        <v>0</v>
      </c>
      <c r="F95" s="37">
        <f>+'New Year-Full Year'!Q155</f>
        <v>0</v>
      </c>
      <c r="G95" s="37"/>
      <c r="H95" s="3" t="str">
        <f t="shared" si="38"/>
        <v>NA</v>
      </c>
      <c r="J95" s="37">
        <f>+'New Year-Full Year'!U155</f>
        <v>0</v>
      </c>
      <c r="K95" s="37">
        <f>+'New Year-Full Year'!V155</f>
        <v>0</v>
      </c>
      <c r="L95" s="3" t="str">
        <f t="shared" si="39"/>
        <v>NA</v>
      </c>
    </row>
    <row r="96" spans="1:12" s="2" customFormat="1" x14ac:dyDescent="0.35">
      <c r="A96" s="42">
        <v>150</v>
      </c>
      <c r="B96" s="26" t="str">
        <f>+'New Year-Full Year'!B156</f>
        <v>Total Church Maintenance</v>
      </c>
      <c r="C96" s="26"/>
      <c r="D96" s="26"/>
      <c r="E96" s="26">
        <f>SUM(E90:E95)</f>
        <v>39900</v>
      </c>
      <c r="F96" s="26">
        <f>SUM(F90:F95)</f>
        <v>38258</v>
      </c>
      <c r="G96" s="26">
        <f>SUM(G90:G95)</f>
        <v>1642</v>
      </c>
      <c r="H96" s="27">
        <f t="shared" si="38"/>
        <v>4.2919128025511004E-2</v>
      </c>
      <c r="J96" s="26">
        <f>SUM(J90:J95)</f>
        <v>29951.67</v>
      </c>
      <c r="K96" s="26">
        <f>SUM(K90:K95)</f>
        <v>38258</v>
      </c>
      <c r="L96" s="27">
        <f t="shared" si="39"/>
        <v>-0.21711354487950238</v>
      </c>
    </row>
    <row r="97" spans="1:12" x14ac:dyDescent="0.35">
      <c r="A97" s="42">
        <v>151</v>
      </c>
      <c r="B97" s="26" t="str">
        <f>+'New Year-Full Year'!B157</f>
        <v>TOTAL FACILITIES</v>
      </c>
      <c r="C97" s="26"/>
      <c r="D97" s="26"/>
      <c r="E97" s="26">
        <f>+E88+E96</f>
        <v>72302</v>
      </c>
      <c r="F97" s="26">
        <f>+F88+F96</f>
        <v>71208</v>
      </c>
      <c r="G97" s="26">
        <f>+G88+G96</f>
        <v>1094</v>
      </c>
      <c r="H97" s="27">
        <f t="shared" si="38"/>
        <v>1.5363442309852825E-2</v>
      </c>
      <c r="J97" s="26">
        <f>+J88+J96</f>
        <v>60547.600000000006</v>
      </c>
      <c r="K97" s="26">
        <f>+K88+K96</f>
        <v>71208</v>
      </c>
      <c r="L97" s="27">
        <f t="shared" si="39"/>
        <v>-0.14970789798898992</v>
      </c>
    </row>
    <row r="98" spans="1:12" ht="23" customHeight="1" x14ac:dyDescent="0.35">
      <c r="A98" s="42">
        <v>154</v>
      </c>
      <c r="B98" s="778" t="str">
        <f>+'New Year-Full Year'!B158</f>
        <v>Restricted Funds</v>
      </c>
      <c r="H98" s="38"/>
    </row>
    <row r="99" spans="1:12" x14ac:dyDescent="0.35">
      <c r="A99" s="42">
        <v>155</v>
      </c>
      <c r="C99" s="1" t="str">
        <f>'New Year-Full Year'!C159</f>
        <v>Operating Fund Reserve</v>
      </c>
      <c r="E99" s="37">
        <f>SUM('New Year-Full Year'!P159:P159)</f>
        <v>-23257</v>
      </c>
      <c r="F99" s="37">
        <f>SUM('New Year-Full Year'!Q159:Q159)</f>
        <v>-8185</v>
      </c>
      <c r="G99" s="37">
        <f t="shared" ref="G99:G103" si="40">+E99-F99</f>
        <v>-15072</v>
      </c>
      <c r="H99" s="3">
        <f t="shared" ref="H99:H105" si="41">IF(F99=0,"NA",(+E99-F99)/F99)</f>
        <v>1.8414172266340867</v>
      </c>
      <c r="J99" s="37">
        <f>SUM('New Year-Full Year'!U159:U159)</f>
        <v>53100.32</v>
      </c>
      <c r="K99" s="37">
        <f>SUM('New Year-Full Year'!V159:V159)</f>
        <v>-8185</v>
      </c>
      <c r="L99" s="3">
        <f t="shared" ref="L99:L105" si="42">IF(K99=0,"NA",(+J99-K99)/K99)</f>
        <v>-7.4875161881490531</v>
      </c>
    </row>
    <row r="100" spans="1:12" hidden="1" x14ac:dyDescent="0.35">
      <c r="C100" s="1" t="str">
        <f>'New Year-Full Year'!C160</f>
        <v>Pastor Transition</v>
      </c>
      <c r="E100" s="37">
        <f>SUM('New Year-Full Year'!P160:P160)</f>
        <v>0</v>
      </c>
      <c r="F100" s="37">
        <f>SUM('New Year-Full Year'!Q160:Q160)</f>
        <v>0</v>
      </c>
      <c r="G100" s="37">
        <f t="shared" si="40"/>
        <v>0</v>
      </c>
      <c r="H100" s="3" t="str">
        <f>IF(F100=0,"NA",(+E100-F100)/F100)</f>
        <v>NA</v>
      </c>
      <c r="J100" s="37">
        <f>SUM('New Year-Full Year'!U160:U160)</f>
        <v>0</v>
      </c>
      <c r="K100" s="37">
        <f>SUM('New Year-Full Year'!V160:V160)</f>
        <v>0</v>
      </c>
      <c r="L100" s="3" t="str">
        <f>IF(K100=0,"NA",(+J100-K100)/K100)</f>
        <v>NA</v>
      </c>
    </row>
    <row r="101" spans="1:12" ht="14.5" customHeight="1" x14ac:dyDescent="0.35">
      <c r="A101" s="42">
        <v>156</v>
      </c>
      <c r="C101" s="1" t="str">
        <f>'New Year-Full Year'!C161</f>
        <v>Facilities Fund Reserve</v>
      </c>
      <c r="E101" s="37">
        <f>+'New Year-Full Year'!P161</f>
        <v>0</v>
      </c>
      <c r="F101" s="37">
        <f>+'New Year-Full Year'!Q161</f>
        <v>0</v>
      </c>
      <c r="G101" s="37">
        <f t="shared" si="40"/>
        <v>0</v>
      </c>
      <c r="H101" s="3" t="str">
        <f t="shared" si="41"/>
        <v>NA</v>
      </c>
      <c r="J101" s="37">
        <f>+'New Year-Full Year'!U161</f>
        <v>25000</v>
      </c>
      <c r="K101" s="37">
        <f>+'New Year-Full Year'!V161</f>
        <v>0</v>
      </c>
      <c r="L101" s="3" t="str">
        <f t="shared" si="42"/>
        <v>NA</v>
      </c>
    </row>
    <row r="102" spans="1:12" ht="14.5" hidden="1" customHeight="1" x14ac:dyDescent="0.35">
      <c r="A102" s="42">
        <v>157</v>
      </c>
      <c r="C102" s="1" t="str">
        <f>'New Year-Full Year'!C162</f>
        <v>Facilities Maintenance</v>
      </c>
      <c r="E102" s="37">
        <f>+'New Year-Full Year'!P162</f>
        <v>0</v>
      </c>
      <c r="F102" s="37">
        <f>+'New Year-Full Year'!Q162</f>
        <v>0</v>
      </c>
      <c r="G102" s="37">
        <f t="shared" si="40"/>
        <v>0</v>
      </c>
      <c r="H102" s="3" t="str">
        <f t="shared" si="41"/>
        <v>NA</v>
      </c>
      <c r="J102" s="37">
        <f>+'New Year-Full Year'!U162</f>
        <v>0</v>
      </c>
      <c r="K102" s="37">
        <f>+'New Year-Full Year'!V162</f>
        <v>0</v>
      </c>
      <c r="L102" s="777" t="s">
        <v>454</v>
      </c>
    </row>
    <row r="103" spans="1:12" x14ac:dyDescent="0.35">
      <c r="C103" s="1" t="s">
        <v>173</v>
      </c>
      <c r="E103" s="37">
        <f>+'New Year-Full Year'!P163</f>
        <v>0</v>
      </c>
      <c r="F103" s="37">
        <f>+'New Year-Full Year'!Q163</f>
        <v>0</v>
      </c>
      <c r="G103" s="37">
        <f t="shared" si="40"/>
        <v>0</v>
      </c>
      <c r="H103" s="3" t="str">
        <f t="shared" si="41"/>
        <v>NA</v>
      </c>
      <c r="J103" s="37">
        <f>+'New Year-Full Year'!U163</f>
        <v>28100</v>
      </c>
      <c r="K103" s="37">
        <f>+'New Year-Full Year'!V163</f>
        <v>0</v>
      </c>
      <c r="L103" s="3" t="str">
        <f t="shared" si="42"/>
        <v>NA</v>
      </c>
    </row>
    <row r="104" spans="1:12" hidden="1" x14ac:dyDescent="0.35">
      <c r="A104" s="42">
        <v>158</v>
      </c>
      <c r="C104" s="1" t="str">
        <f>'New Year-Full Year'!C164</f>
        <v>Line of Credit Payment</v>
      </c>
      <c r="E104" s="37">
        <f>+'New Year-Full Year'!P164</f>
        <v>0</v>
      </c>
      <c r="F104" s="37">
        <f>+'New Year-Full Year'!Q164</f>
        <v>0</v>
      </c>
      <c r="G104" s="37"/>
      <c r="H104" s="3" t="str">
        <f t="shared" si="41"/>
        <v>NA</v>
      </c>
      <c r="J104" s="37">
        <f>+'New Year-Full Year'!U164</f>
        <v>0</v>
      </c>
      <c r="K104" s="37">
        <f>+'New Year-Full Year'!V164</f>
        <v>0</v>
      </c>
      <c r="L104" s="3" t="str">
        <f t="shared" si="42"/>
        <v>NA</v>
      </c>
    </row>
    <row r="105" spans="1:12" s="2" customFormat="1" x14ac:dyDescent="0.35">
      <c r="A105" s="42">
        <v>159</v>
      </c>
      <c r="B105" s="28" t="str">
        <f>+'New Year-Full Year'!B165</f>
        <v>Total Restricted Funds</v>
      </c>
      <c r="C105" s="28"/>
      <c r="D105" s="28"/>
      <c r="E105" s="28">
        <f>SUM(E99:E104)</f>
        <v>-23257</v>
      </c>
      <c r="F105" s="28">
        <f>SUM(F99:F104)</f>
        <v>-8185</v>
      </c>
      <c r="G105" s="28">
        <f>SUM(G99:G104)</f>
        <v>-15072</v>
      </c>
      <c r="H105" s="29">
        <f t="shared" si="41"/>
        <v>1.8414172266340867</v>
      </c>
      <c r="J105" s="28">
        <f>SUM(J99:J104)</f>
        <v>106200.32000000001</v>
      </c>
      <c r="K105" s="28">
        <f>SUM(K99:K104)</f>
        <v>-8185</v>
      </c>
      <c r="L105" s="29">
        <f t="shared" si="42"/>
        <v>-13.97499328039096</v>
      </c>
    </row>
    <row r="106" spans="1:12" ht="7.5" customHeight="1" x14ac:dyDescent="0.35">
      <c r="A106" s="42">
        <v>160</v>
      </c>
      <c r="H106" s="38"/>
    </row>
    <row r="107" spans="1:12" x14ac:dyDescent="0.35">
      <c r="A107" s="42">
        <v>161</v>
      </c>
      <c r="B107" s="30" t="str">
        <f>+'New Year-Full Year'!B167</f>
        <v>TOTAL EXPENSES</v>
      </c>
      <c r="C107" s="31"/>
      <c r="D107" s="31"/>
      <c r="E107" s="30">
        <f>+E72+E97+E105+E32+E79</f>
        <v>458000</v>
      </c>
      <c r="F107" s="30">
        <f>+F72+F97+F105+F32+F79</f>
        <v>498500</v>
      </c>
      <c r="G107" s="30">
        <f>+G72+G97+G105+G32+G79</f>
        <v>-40500</v>
      </c>
      <c r="H107" s="32">
        <f>IF(F107=0,"NA",(+E107-F107)/F107)</f>
        <v>-8.1243731193580748E-2</v>
      </c>
      <c r="J107" s="30">
        <f>+J72+J97+J105+J32+J79</f>
        <v>524504.87</v>
      </c>
      <c r="K107" s="30">
        <f>+K72+K97+K105+K32+K79</f>
        <v>498500</v>
      </c>
      <c r="L107" s="32">
        <f>IF(K107=0,"NA",(+J107-K107)/K107)</f>
        <v>5.2166238716148436E-2</v>
      </c>
    </row>
    <row r="108" spans="1:12" x14ac:dyDescent="0.35">
      <c r="A108" s="42">
        <v>162</v>
      </c>
      <c r="B108" s="30" t="str">
        <f>+'New Year-Full Year'!B168</f>
        <v>Income less Expense</v>
      </c>
      <c r="C108" s="31"/>
      <c r="D108" s="31"/>
      <c r="E108" s="30">
        <f>ROUND(E20-E107,0)</f>
        <v>0</v>
      </c>
      <c r="F108" s="30">
        <f>ROUND(F20-F107,0)</f>
        <v>0</v>
      </c>
      <c r="G108" s="30">
        <f>ROUND(G20-G107,0)</f>
        <v>0</v>
      </c>
      <c r="H108" s="32" t="str">
        <f>IF(F108=0,"NA",(+E108-F108)/F108)</f>
        <v>NA</v>
      </c>
      <c r="J108" s="30">
        <f>ROUND(J20-J107,0)</f>
        <v>0</v>
      </c>
      <c r="K108" s="30">
        <f>ROUND(K20-K107,0)</f>
        <v>0</v>
      </c>
      <c r="L108" s="32" t="str">
        <f>IF(K108=0,"NA",(+J108-K108)/K108)</f>
        <v>NA</v>
      </c>
    </row>
    <row r="109" spans="1:12" ht="7.25" customHeight="1" x14ac:dyDescent="0.35">
      <c r="H109" s="38"/>
    </row>
    <row r="110" spans="1:12" hidden="1" x14ac:dyDescent="0.35">
      <c r="B110" s="101" t="str">
        <f>+'New Year-Full Year'!B170</f>
        <v>Operating Income</v>
      </c>
      <c r="C110" s="102"/>
      <c r="D110" s="102"/>
      <c r="E110" s="117">
        <f>+E20-E18</f>
        <v>458000</v>
      </c>
      <c r="F110" s="117">
        <f>+F20-F18</f>
        <v>498500</v>
      </c>
      <c r="G110" s="117">
        <f>+G20-G18</f>
        <v>-40500</v>
      </c>
      <c r="H110" s="106">
        <f>IF(F110=0,"NA",(+E110-F110)/F110)</f>
        <v>-8.1243731193580748E-2</v>
      </c>
      <c r="I110" s="103"/>
      <c r="J110" s="117">
        <f>+J20-J18</f>
        <v>524504.87</v>
      </c>
      <c r="K110" s="117">
        <f>+K20-K18</f>
        <v>498500</v>
      </c>
      <c r="L110" s="107">
        <f>IF(K110=0,"NA",(+J110-K110)/K110)</f>
        <v>5.2166238716148436E-2</v>
      </c>
    </row>
    <row r="111" spans="1:12" hidden="1" x14ac:dyDescent="0.35">
      <c r="B111" s="108" t="str">
        <f>+'New Year-Full Year'!B171</f>
        <v>Operating Expenses</v>
      </c>
      <c r="C111" s="96"/>
      <c r="D111" s="96"/>
      <c r="E111" s="118">
        <f>+E107-E105</f>
        <v>481257</v>
      </c>
      <c r="F111" s="118">
        <f>+F107-F105</f>
        <v>506685</v>
      </c>
      <c r="G111" s="118">
        <f>+G107-G105</f>
        <v>-25428</v>
      </c>
      <c r="H111" s="100">
        <f>IF(F111=0,"NA",(+E111-F111)/F111)</f>
        <v>-5.0185026199709881E-2</v>
      </c>
      <c r="I111" s="97"/>
      <c r="J111" s="118">
        <f>+J107-J105</f>
        <v>418304.55</v>
      </c>
      <c r="K111" s="118">
        <f>+K107-K105</f>
        <v>506685</v>
      </c>
      <c r="L111" s="109">
        <f>IF(K111=0,"NA",(+J111-K111)/K111)</f>
        <v>-0.17442878711625567</v>
      </c>
    </row>
    <row r="112" spans="1:12" ht="15" hidden="1" thickBot="1" x14ac:dyDescent="0.4">
      <c r="B112" s="110" t="str">
        <f>+'New Year-Full Year'!B172</f>
        <v>Net Operating Income/(Loss)</v>
      </c>
      <c r="C112" s="111"/>
      <c r="D112" s="111"/>
      <c r="E112" s="119">
        <f>+E110-E111</f>
        <v>-23257</v>
      </c>
      <c r="F112" s="119">
        <f>+F110-F111</f>
        <v>-8185</v>
      </c>
      <c r="G112" s="119">
        <f>+G110-G111</f>
        <v>-15072</v>
      </c>
      <c r="H112" s="776" t="s">
        <v>454</v>
      </c>
      <c r="I112" s="113"/>
      <c r="J112" s="119">
        <f>+J110-J111</f>
        <v>106200.32000000001</v>
      </c>
      <c r="K112" s="119">
        <f>+K110-K111</f>
        <v>-8185</v>
      </c>
      <c r="L112" s="775" t="s">
        <v>454</v>
      </c>
    </row>
    <row r="113" spans="8:8" ht="5" customHeight="1" x14ac:dyDescent="0.35">
      <c r="H113" s="38"/>
    </row>
  </sheetData>
  <mergeCells count="13">
    <mergeCell ref="C78:D78"/>
    <mergeCell ref="B1:L1"/>
    <mergeCell ref="B2:L2"/>
    <mergeCell ref="J3:L3"/>
    <mergeCell ref="E3:H3"/>
    <mergeCell ref="C75:D75"/>
    <mergeCell ref="B34:D34"/>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rowBreaks count="1" manualBreakCount="1">
    <brk id="55"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4"/>
  <sheetViews>
    <sheetView showGridLines="0" topLeftCell="A5" workbookViewId="0">
      <selection activeCell="L13" sqref="L13"/>
    </sheetView>
  </sheetViews>
  <sheetFormatPr defaultRowHeight="14.5" x14ac:dyDescent="0.35"/>
  <cols>
    <col min="1" max="1" width="23.453125" customWidth="1"/>
    <col min="2" max="3" width="9.36328125" customWidth="1"/>
    <col min="6" max="6" width="3.1796875" customWidth="1"/>
    <col min="7" max="7" width="10.54296875" customWidth="1"/>
  </cols>
  <sheetData>
    <row r="1" spans="1:12" ht="55.5" customHeight="1" x14ac:dyDescent="0.35"/>
    <row r="2" spans="1:12" ht="21" x14ac:dyDescent="0.5">
      <c r="A2" s="923" t="s">
        <v>408</v>
      </c>
      <c r="B2" s="923"/>
      <c r="C2" s="923"/>
      <c r="D2" s="923"/>
      <c r="E2" s="923"/>
      <c r="F2" s="923"/>
      <c r="G2" s="923"/>
      <c r="H2" s="700"/>
    </row>
    <row r="3" spans="1:12" ht="15" thickBot="1" x14ac:dyDescent="0.4"/>
    <row r="4" spans="1:12" ht="44.5" thickTop="1" thickBot="1" x14ac:dyDescent="0.4">
      <c r="B4" s="719" t="s">
        <v>586</v>
      </c>
      <c r="C4" s="720" t="s">
        <v>587</v>
      </c>
      <c r="D4" s="720" t="s">
        <v>366</v>
      </c>
      <c r="E4" s="721" t="s">
        <v>603</v>
      </c>
    </row>
    <row r="5" spans="1:12" ht="15" thickTop="1" x14ac:dyDescent="0.35">
      <c r="A5" s="718" t="s">
        <v>410</v>
      </c>
      <c r="B5" s="704">
        <f>ROUND(+'New Year-Full Year'!P20,0)</f>
        <v>458000</v>
      </c>
      <c r="C5" s="704">
        <f>ROUND(+'New Year-Full Year'!U20,0)</f>
        <v>524505</v>
      </c>
      <c r="D5" s="704">
        <f>ROUND(+'New Year-Full Year'!Q20,0)</f>
        <v>498500</v>
      </c>
      <c r="E5" s="705">
        <v>482636</v>
      </c>
      <c r="K5" s="702"/>
    </row>
    <row r="6" spans="1:12" x14ac:dyDescent="0.35">
      <c r="A6" s="706"/>
      <c r="B6" s="701"/>
      <c r="C6" s="701"/>
      <c r="D6" s="701"/>
      <c r="E6" s="707"/>
      <c r="J6" s="702"/>
    </row>
    <row r="7" spans="1:12" x14ac:dyDescent="0.35">
      <c r="A7" s="703" t="s">
        <v>411</v>
      </c>
      <c r="B7" s="701"/>
      <c r="C7" s="701"/>
      <c r="D7" s="701"/>
      <c r="E7" s="707"/>
    </row>
    <row r="8" spans="1:12" x14ac:dyDescent="0.35">
      <c r="A8" s="706" t="s">
        <v>413</v>
      </c>
      <c r="B8" s="708">
        <f>ROUND(+'New Year-Full Year'!P32,0)</f>
        <v>27750</v>
      </c>
      <c r="C8" s="708">
        <f>ROUND(+'New Year-Full Year'!U32,0)</f>
        <v>41778</v>
      </c>
      <c r="D8" s="708">
        <f>ROUND(+'New Year-Full Year'!Q32,0)</f>
        <v>40040</v>
      </c>
      <c r="E8" s="709">
        <v>46540</v>
      </c>
      <c r="J8" s="578"/>
      <c r="K8" s="578"/>
      <c r="L8" s="578"/>
    </row>
    <row r="9" spans="1:12" x14ac:dyDescent="0.35">
      <c r="A9" s="706" t="s">
        <v>414</v>
      </c>
      <c r="B9" s="708">
        <f>ROUND(+'New Year-Full Year'!P78,0)</f>
        <v>41084</v>
      </c>
      <c r="C9" s="708">
        <f>ROUND(+'New Year-Full Year'!U78,0)</f>
        <v>28015</v>
      </c>
      <c r="D9" s="708">
        <f>ROUND(+'New Year-Full Year'!Q78,0)</f>
        <v>52825</v>
      </c>
      <c r="E9" s="709">
        <v>31956</v>
      </c>
    </row>
    <row r="10" spans="1:12" x14ac:dyDescent="0.35">
      <c r="A10" s="706" t="s">
        <v>415</v>
      </c>
      <c r="B10" s="708">
        <f>ROUND(+'New Year-Full Year'!P138,0)</f>
        <v>340121</v>
      </c>
      <c r="C10" s="708">
        <f>ROUND(+'New Year-Full Year'!U138,0)</f>
        <v>287964</v>
      </c>
      <c r="D10" s="708">
        <f>ROUND(+'New Year-Full Year'!Q138,0)</f>
        <v>342612</v>
      </c>
      <c r="E10" s="709">
        <v>266795</v>
      </c>
    </row>
    <row r="11" spans="1:12" ht="16" x14ac:dyDescent="0.5">
      <c r="A11" s="706" t="s">
        <v>416</v>
      </c>
      <c r="B11" s="710">
        <f>ROUND(+'New Year-Full Year'!P157,0)</f>
        <v>72302</v>
      </c>
      <c r="C11" s="710">
        <f>ROUND(+'New Year-Full Year'!U157,0)</f>
        <v>60548</v>
      </c>
      <c r="D11" s="710">
        <f>ROUND(+'New Year-Full Year'!Q157,0)</f>
        <v>71208</v>
      </c>
      <c r="E11" s="711">
        <v>67753</v>
      </c>
    </row>
    <row r="12" spans="1:12" x14ac:dyDescent="0.35">
      <c r="A12" s="703" t="s">
        <v>412</v>
      </c>
      <c r="B12" s="704">
        <f>SUM(B8:B11)</f>
        <v>481257</v>
      </c>
      <c r="C12" s="704">
        <f t="shared" ref="C12:E12" si="0">SUM(C8:C11)</f>
        <v>418305</v>
      </c>
      <c r="D12" s="704">
        <f t="shared" si="0"/>
        <v>506685</v>
      </c>
      <c r="E12" s="712">
        <f t="shared" si="0"/>
        <v>413044</v>
      </c>
    </row>
    <row r="13" spans="1:12" ht="15" thickBot="1" x14ac:dyDescent="0.4">
      <c r="A13" s="706"/>
      <c r="B13" s="701"/>
      <c r="C13" s="701"/>
      <c r="D13" s="701"/>
      <c r="E13" s="707"/>
    </row>
    <row r="14" spans="1:12" ht="15" thickTop="1" x14ac:dyDescent="0.35">
      <c r="A14" s="703" t="s">
        <v>409</v>
      </c>
      <c r="B14" s="704">
        <f>+B5-B12</f>
        <v>-23257</v>
      </c>
      <c r="C14" s="704">
        <f t="shared" ref="C14:E14" si="1">+C5-C12</f>
        <v>106200</v>
      </c>
      <c r="D14" s="704">
        <f t="shared" si="1"/>
        <v>-8185</v>
      </c>
      <c r="E14" s="712">
        <f t="shared" si="1"/>
        <v>69592</v>
      </c>
      <c r="G14" s="920" t="s">
        <v>455</v>
      </c>
    </row>
    <row r="15" spans="1:12" x14ac:dyDescent="0.35">
      <c r="A15" s="706"/>
      <c r="B15" s="701"/>
      <c r="C15" s="701"/>
      <c r="D15" s="701"/>
      <c r="E15" s="707"/>
      <c r="G15" s="921"/>
      <c r="H15" s="701"/>
    </row>
    <row r="16" spans="1:12" ht="15" thickBot="1" x14ac:dyDescent="0.4">
      <c r="A16" s="703" t="s">
        <v>417</v>
      </c>
      <c r="B16" s="701"/>
      <c r="C16" s="701"/>
      <c r="D16" s="701"/>
      <c r="E16" s="707"/>
      <c r="G16" s="922"/>
      <c r="H16" s="701"/>
    </row>
    <row r="17" spans="1:8" ht="15" thickTop="1" x14ac:dyDescent="0.35">
      <c r="A17" s="706" t="s">
        <v>418</v>
      </c>
      <c r="B17" s="708">
        <f>ROUND(+'New Year-Full Year'!P159,0)</f>
        <v>-23257</v>
      </c>
      <c r="C17" s="708">
        <f>ROUND(+'New Year-Full Year'!U159,0)</f>
        <v>53100</v>
      </c>
      <c r="D17" s="708">
        <f>ROUND(+'New Year-Full Year'!Q159,0)</f>
        <v>-8185</v>
      </c>
      <c r="E17" s="709">
        <v>19302</v>
      </c>
      <c r="G17" s="779">
        <v>101904.66</v>
      </c>
      <c r="H17" s="701"/>
    </row>
    <row r="18" spans="1:8" x14ac:dyDescent="0.35">
      <c r="A18" s="706" t="s">
        <v>419</v>
      </c>
      <c r="B18" s="708">
        <f>ROUND(+'New Year-Full Year'!P161,0)</f>
        <v>0</v>
      </c>
      <c r="C18" s="708">
        <f>ROUND(+'New Year-Full Year'!U161,0)</f>
        <v>25000</v>
      </c>
      <c r="D18" s="708">
        <f>ROUND(+'New Year-Full Year'!Q161,0)</f>
        <v>0</v>
      </c>
      <c r="E18" s="709">
        <v>25522</v>
      </c>
      <c r="G18" s="779">
        <v>200536.49</v>
      </c>
      <c r="H18" s="701"/>
    </row>
    <row r="19" spans="1:8" x14ac:dyDescent="0.35">
      <c r="A19" s="706" t="s">
        <v>420</v>
      </c>
      <c r="B19" s="708">
        <f>ROUND(+'New Year-Full Year'!P162,0)</f>
        <v>0</v>
      </c>
      <c r="C19" s="708">
        <f>ROUND(+'New Year-Full Year'!U162,0)</f>
        <v>0</v>
      </c>
      <c r="D19" s="708">
        <f>ROUND(+'New Year-Full Year'!Q162,0)</f>
        <v>0</v>
      </c>
      <c r="E19" s="709">
        <v>11008</v>
      </c>
      <c r="G19" s="779">
        <v>17779</v>
      </c>
      <c r="H19" s="701"/>
    </row>
    <row r="20" spans="1:8" ht="16" x14ac:dyDescent="0.5">
      <c r="A20" s="706" t="s">
        <v>421</v>
      </c>
      <c r="B20" s="710">
        <f>ROUND(+'New Year-Full Year'!P163,0)</f>
        <v>0</v>
      </c>
      <c r="C20" s="710">
        <f>ROUND(+'New Year-Full Year'!U163,0)</f>
        <v>28100</v>
      </c>
      <c r="D20" s="710">
        <f>ROUND(+'New Year-Full Year'!Q163,0)</f>
        <v>0</v>
      </c>
      <c r="E20" s="711">
        <v>13760</v>
      </c>
      <c r="G20" s="780">
        <v>53860</v>
      </c>
      <c r="H20" s="701"/>
    </row>
    <row r="21" spans="1:8" ht="15" thickBot="1" x14ac:dyDescent="0.4">
      <c r="A21" s="703" t="s">
        <v>77</v>
      </c>
      <c r="B21" s="713">
        <f>SUM(B17:B20)</f>
        <v>-23257</v>
      </c>
      <c r="C21" s="713">
        <f t="shared" ref="C21:E21" si="2">SUM(C17:C20)</f>
        <v>106200</v>
      </c>
      <c r="D21" s="713">
        <f t="shared" si="2"/>
        <v>-8185</v>
      </c>
      <c r="E21" s="714">
        <f t="shared" si="2"/>
        <v>69592</v>
      </c>
      <c r="F21" s="702"/>
      <c r="G21" s="782">
        <f t="shared" ref="G21" si="3">SUM(G17:G20)</f>
        <v>374080.15</v>
      </c>
      <c r="H21" s="701"/>
    </row>
    <row r="22" spans="1:8" ht="15" thickTop="1" x14ac:dyDescent="0.35">
      <c r="A22" s="706"/>
      <c r="B22" s="722"/>
      <c r="C22" s="722"/>
      <c r="D22" s="722"/>
      <c r="E22" s="723"/>
    </row>
    <row r="23" spans="1:8" ht="15" thickBot="1" x14ac:dyDescent="0.4">
      <c r="A23" s="715" t="s">
        <v>422</v>
      </c>
      <c r="B23" s="783">
        <f>ROUND(+B14-B21,0)</f>
        <v>0</v>
      </c>
      <c r="C23" s="783">
        <f>ROUND(+C14-C21,0)</f>
        <v>0</v>
      </c>
      <c r="D23" s="716">
        <f t="shared" ref="D23:E23" si="4">+D14-D21</f>
        <v>0</v>
      </c>
      <c r="E23" s="717">
        <f t="shared" si="4"/>
        <v>0</v>
      </c>
    </row>
    <row r="24" spans="1:8" ht="15" thickTop="1" x14ac:dyDescent="0.35"/>
  </sheetData>
  <mergeCells count="2">
    <mergeCell ref="G14:G16"/>
    <mergeCell ref="A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L220"/>
  <sheetViews>
    <sheetView showGridLines="0" topLeftCell="B3" workbookViewId="0">
      <pane xSplit="14" ySplit="2" topLeftCell="U5" activePane="bottomRight" state="frozen"/>
      <selection activeCell="I112" sqref="I112"/>
      <selection pane="topRight" activeCell="I112" sqref="I112"/>
      <selection pane="bottomLeft" activeCell="I112" sqref="I112"/>
      <selection pane="bottomRight" activeCell="Q82" sqref="Q82"/>
    </sheetView>
  </sheetViews>
  <sheetFormatPr defaultColWidth="9.08984375" defaultRowHeight="14.5" outlineLevelCol="2" x14ac:dyDescent="0.35"/>
  <cols>
    <col min="1" max="1" width="4.453125" style="42" hidden="1" customWidth="1"/>
    <col min="2" max="2" width="4.36328125" style="2" customWidth="1"/>
    <col min="3" max="3" width="9.08984375" style="1"/>
    <col min="4" max="4" width="21.1796875" style="49" customWidth="1"/>
    <col min="5" max="5" width="11.54296875" style="76" hidden="1" customWidth="1" outlineLevel="1"/>
    <col min="6" max="6" width="11.36328125" style="38" hidden="1" customWidth="1" outlineLevel="1"/>
    <col min="7" max="7" width="8.6328125" style="38" hidden="1" customWidth="1" outlineLevel="1"/>
    <col min="8" max="8" width="10" style="38" hidden="1" customWidth="1" outlineLevel="1"/>
    <col min="9" max="9" width="10.6328125" style="38" hidden="1" customWidth="1" outlineLevel="2"/>
    <col min="10" max="10" width="8.08984375" style="38" hidden="1" customWidth="1" outlineLevel="2"/>
    <col min="11" max="11" width="10.36328125" style="38" hidden="1" customWidth="1" outlineLevel="2"/>
    <col min="12" max="12" width="7.08984375" style="38" hidden="1" customWidth="1" outlineLevel="2"/>
    <col min="13" max="14" width="8.36328125" style="38" hidden="1" customWidth="1" outlineLevel="2"/>
    <col min="15" max="15" width="9.6328125" style="1" hidden="1" customWidth="1" outlineLevel="1" collapsed="1"/>
    <col min="16" max="16" width="11.08984375" style="1" customWidth="1" collapsed="1"/>
    <col min="17"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4" customWidth="1"/>
    <col min="24" max="24" width="76.6328125" style="54" customWidth="1"/>
    <col min="25" max="25" width="58.6328125" style="35" hidden="1" customWidth="1"/>
    <col min="26" max="26" width="8.6328125" style="1" customWidth="1"/>
    <col min="27" max="27" width="13" style="1" hidden="1" customWidth="1" outlineLevel="1"/>
    <col min="28" max="29" width="9.08984375" style="1" hidden="1" customWidth="1" outlineLevel="1"/>
    <col min="30" max="37" width="14.6328125" style="1" hidden="1" customWidth="1" outlineLevel="1"/>
    <col min="38" max="38" width="9.08984375" style="1" collapsed="1"/>
    <col min="39" max="16384" width="9.08984375" style="1"/>
  </cols>
  <sheetData>
    <row r="1" spans="1:37" ht="41.25" customHeight="1" x14ac:dyDescent="0.35">
      <c r="B1" s="903" t="s">
        <v>83</v>
      </c>
      <c r="C1" s="903"/>
      <c r="D1" s="903"/>
      <c r="E1" s="903"/>
      <c r="F1" s="903"/>
      <c r="G1" s="903"/>
      <c r="H1" s="903"/>
      <c r="I1" s="903"/>
      <c r="J1" s="903"/>
      <c r="K1" s="903"/>
      <c r="L1" s="903"/>
      <c r="M1" s="903"/>
      <c r="N1" s="903"/>
      <c r="O1" s="903"/>
      <c r="P1" s="903"/>
      <c r="Q1" s="903"/>
      <c r="R1" s="903"/>
      <c r="S1" s="903"/>
      <c r="T1" s="903"/>
      <c r="U1" s="903"/>
      <c r="V1" s="903"/>
      <c r="W1" s="903"/>
      <c r="X1" s="903"/>
      <c r="Y1" s="1"/>
    </row>
    <row r="2" spans="1:37" ht="23.25" customHeight="1" x14ac:dyDescent="0.35">
      <c r="P2" s="908" t="s">
        <v>82</v>
      </c>
      <c r="Q2" s="909"/>
      <c r="R2" s="909"/>
      <c r="S2" s="910"/>
      <c r="U2" s="941" t="str">
        <f>Bud_Yr-1&amp;" Year to Date (YTD)"</f>
        <v>2021 Year to Date (YTD)</v>
      </c>
      <c r="V2" s="942"/>
      <c r="W2" s="943"/>
    </row>
    <row r="3" spans="1:37" ht="27.65" customHeight="1" x14ac:dyDescent="0.35">
      <c r="P3" s="950" t="str">
        <f>Bud_Yr&amp;" Budget"</f>
        <v>2022 Budget</v>
      </c>
      <c r="Q3" s="951" t="str">
        <f>Bud_Yr-1&amp;" Budget"</f>
        <v>2021 Budget</v>
      </c>
      <c r="R3" s="944" t="str">
        <f>Bud_Yr&amp;" Budget vs             "&amp;Bud_Yr-1&amp;" Budget"</f>
        <v>2022 Budget vs             2021 Budget</v>
      </c>
      <c r="S3" s="945"/>
      <c r="T3" s="49"/>
      <c r="U3" s="946" t="s">
        <v>596</v>
      </c>
      <c r="V3" s="948" t="s">
        <v>597</v>
      </c>
      <c r="W3" s="918" t="s">
        <v>81</v>
      </c>
      <c r="AD3" s="937" t="str">
        <f>Bud_Yr&amp;" Budget"</f>
        <v>2022 Budget</v>
      </c>
      <c r="AE3" s="938"/>
      <c r="AF3" s="938"/>
      <c r="AG3" s="939"/>
      <c r="AH3" s="937" t="str">
        <f>+U3</f>
        <v>Dec 2021 YTD Actual</v>
      </c>
      <c r="AI3" s="938"/>
      <c r="AJ3" s="938"/>
      <c r="AK3" s="939"/>
    </row>
    <row r="4" spans="1:37" s="2" customFormat="1" x14ac:dyDescent="0.35">
      <c r="A4" s="43"/>
      <c r="D4" s="14"/>
      <c r="E4" s="77"/>
      <c r="F4" s="78"/>
      <c r="G4" s="78"/>
      <c r="H4" s="78"/>
      <c r="I4" s="78"/>
      <c r="J4" s="78"/>
      <c r="K4" s="78"/>
      <c r="L4" s="78"/>
      <c r="M4" s="78"/>
      <c r="N4" s="78"/>
      <c r="P4" s="937"/>
      <c r="Q4" s="938"/>
      <c r="R4" s="48" t="s">
        <v>108</v>
      </c>
      <c r="S4" s="50" t="s">
        <v>109</v>
      </c>
      <c r="U4" s="947"/>
      <c r="V4" s="949"/>
      <c r="W4" s="919"/>
      <c r="X4" s="55" t="str">
        <f>Bud_Yr&amp;" Budget Notes"</f>
        <v>2022 Budget Notes</v>
      </c>
      <c r="Y4" s="5" t="s">
        <v>110</v>
      </c>
      <c r="AD4" s="381" t="s">
        <v>332</v>
      </c>
      <c r="AE4" s="382" t="s">
        <v>276</v>
      </c>
      <c r="AF4" s="382" t="s">
        <v>277</v>
      </c>
      <c r="AG4" s="382" t="s">
        <v>278</v>
      </c>
      <c r="AH4" s="381" t="s">
        <v>332</v>
      </c>
      <c r="AI4" s="382" t="s">
        <v>276</v>
      </c>
      <c r="AJ4" s="382" t="s">
        <v>277</v>
      </c>
      <c r="AK4" s="382" t="s">
        <v>278</v>
      </c>
    </row>
    <row r="5" spans="1:37" s="2" customFormat="1" ht="23.5" x14ac:dyDescent="0.35">
      <c r="A5" s="43"/>
      <c r="B5" s="879" t="s">
        <v>0</v>
      </c>
      <c r="D5" s="14"/>
      <c r="E5" s="77"/>
      <c r="F5" s="78"/>
      <c r="G5" s="78"/>
      <c r="H5" s="78"/>
      <c r="I5" s="78"/>
      <c r="J5" s="78"/>
      <c r="K5" s="78"/>
      <c r="L5" s="78"/>
      <c r="M5" s="78"/>
      <c r="N5" s="78"/>
      <c r="P5" s="7"/>
      <c r="Q5" s="8"/>
      <c r="R5" s="39"/>
      <c r="S5" s="8"/>
      <c r="U5" s="8"/>
      <c r="V5" s="8"/>
      <c r="W5" s="8"/>
      <c r="X5" s="69"/>
      <c r="Y5" s="56"/>
    </row>
    <row r="6" spans="1:37" s="865" customFormat="1" ht="19.5" customHeight="1" x14ac:dyDescent="0.35">
      <c r="A6" s="864">
        <v>1</v>
      </c>
      <c r="B6" s="881" t="s">
        <v>1</v>
      </c>
      <c r="D6" s="866"/>
      <c r="E6" s="867"/>
      <c r="F6" s="868"/>
      <c r="G6" s="868"/>
      <c r="H6" s="868"/>
      <c r="I6" s="868"/>
      <c r="J6" s="868"/>
      <c r="K6" s="868"/>
      <c r="L6" s="868"/>
      <c r="M6" s="868"/>
      <c r="N6" s="868"/>
      <c r="W6" s="868"/>
      <c r="X6" s="882"/>
      <c r="Y6" s="883"/>
    </row>
    <row r="7" spans="1:37" x14ac:dyDescent="0.35">
      <c r="A7" s="42">
        <v>2</v>
      </c>
      <c r="C7" s="393" t="s">
        <v>1</v>
      </c>
      <c r="D7" s="394"/>
      <c r="E7" s="395"/>
      <c r="F7" s="396"/>
      <c r="G7" s="396"/>
      <c r="H7" s="396"/>
      <c r="I7" s="396"/>
      <c r="J7" s="396"/>
      <c r="K7" s="396"/>
      <c r="L7" s="396"/>
      <c r="M7" s="396"/>
      <c r="N7" s="396"/>
      <c r="O7" s="393"/>
      <c r="P7" s="401">
        <v>445000</v>
      </c>
      <c r="Q7" s="397">
        <v>477000</v>
      </c>
      <c r="R7" s="398">
        <f t="shared" ref="R7:R13" si="0">+P7-Q7</f>
        <v>-32000</v>
      </c>
      <c r="S7" s="399">
        <f t="shared" ref="S7:S14" si="1">IF(Q7=0,"NA",(+P7-Q7)/Q7)</f>
        <v>-6.7085953878406712E-2</v>
      </c>
      <c r="T7" s="393"/>
      <c r="U7" s="397">
        <v>455970.64</v>
      </c>
      <c r="V7" s="397">
        <v>477000</v>
      </c>
      <c r="W7" s="399">
        <f t="shared" ref="W7:W14" si="2">IF(V7=0,"NA",(+U7-V7)/V7)</f>
        <v>-4.4086708595387811E-2</v>
      </c>
      <c r="X7" s="639" t="s">
        <v>566</v>
      </c>
      <c r="Y7" s="57" t="s">
        <v>117</v>
      </c>
    </row>
    <row r="8" spans="1:37" x14ac:dyDescent="0.35">
      <c r="C8" s="393"/>
      <c r="D8" s="394"/>
      <c r="E8" s="395"/>
      <c r="F8" s="396"/>
      <c r="G8" s="396"/>
      <c r="H8" s="396"/>
      <c r="I8" s="396"/>
      <c r="J8" s="396"/>
      <c r="K8" s="396"/>
      <c r="L8" s="396"/>
      <c r="M8" s="396"/>
      <c r="N8" s="396"/>
      <c r="O8" s="393"/>
      <c r="P8" s="401"/>
      <c r="Q8" s="397"/>
      <c r="R8" s="398"/>
      <c r="S8" s="399"/>
      <c r="T8" s="393"/>
      <c r="U8" s="397"/>
      <c r="V8" s="397"/>
      <c r="W8" s="399"/>
      <c r="X8" s="400" t="s">
        <v>565</v>
      </c>
      <c r="Y8" s="57"/>
    </row>
    <row r="9" spans="1:37" x14ac:dyDescent="0.35">
      <c r="C9" s="233" t="s">
        <v>598</v>
      </c>
      <c r="D9" s="243"/>
      <c r="E9" s="244"/>
      <c r="F9" s="245"/>
      <c r="G9" s="245"/>
      <c r="H9" s="245"/>
      <c r="I9" s="245"/>
      <c r="J9" s="245"/>
      <c r="K9" s="245"/>
      <c r="L9" s="245"/>
      <c r="M9" s="245"/>
      <c r="N9" s="245"/>
      <c r="O9" s="233"/>
      <c r="P9" s="230">
        <v>0</v>
      </c>
      <c r="Q9" s="230">
        <v>0</v>
      </c>
      <c r="R9" s="231">
        <f t="shared" ref="R9" si="3">+P9-Q9</f>
        <v>0</v>
      </c>
      <c r="S9" s="232" t="str">
        <f t="shared" ref="S9" si="4">IF(Q9=0,"NA",(+P9-Q9)/Q9)</f>
        <v>NA</v>
      </c>
      <c r="T9" s="233"/>
      <c r="U9" s="230">
        <v>320</v>
      </c>
      <c r="V9" s="230">
        <v>0</v>
      </c>
      <c r="W9" s="232" t="str">
        <f t="shared" ref="W9" si="5">IF(V9=0,"NA",(+U9-V9)/V9)</f>
        <v>NA</v>
      </c>
      <c r="X9" s="234"/>
      <c r="Y9" s="57"/>
    </row>
    <row r="10" spans="1:37" x14ac:dyDescent="0.35">
      <c r="A10" s="42">
        <v>4</v>
      </c>
      <c r="C10" s="233" t="s">
        <v>2</v>
      </c>
      <c r="D10" s="243"/>
      <c r="E10" s="244"/>
      <c r="F10" s="245"/>
      <c r="G10" s="245"/>
      <c r="H10" s="245"/>
      <c r="I10" s="245"/>
      <c r="J10" s="245"/>
      <c r="K10" s="245"/>
      <c r="L10" s="245"/>
      <c r="M10" s="245"/>
      <c r="N10" s="245"/>
      <c r="O10" s="233"/>
      <c r="P10" s="230">
        <v>2000</v>
      </c>
      <c r="Q10" s="230">
        <v>3500</v>
      </c>
      <c r="R10" s="231">
        <f t="shared" si="0"/>
        <v>-1500</v>
      </c>
      <c r="S10" s="232">
        <f t="shared" si="1"/>
        <v>-0.42857142857142855</v>
      </c>
      <c r="T10" s="233"/>
      <c r="U10" s="230">
        <v>2910</v>
      </c>
      <c r="V10" s="230">
        <v>3500</v>
      </c>
      <c r="W10" s="232">
        <f t="shared" si="2"/>
        <v>-0.16857142857142857</v>
      </c>
      <c r="X10" s="234"/>
      <c r="Y10" s="57"/>
    </row>
    <row r="11" spans="1:37" x14ac:dyDescent="0.35">
      <c r="A11" s="42">
        <v>5</v>
      </c>
      <c r="C11" s="233" t="s">
        <v>3</v>
      </c>
      <c r="D11" s="243"/>
      <c r="E11" s="244"/>
      <c r="F11" s="245"/>
      <c r="G11" s="245"/>
      <c r="H11" s="245"/>
      <c r="I11" s="245"/>
      <c r="J11" s="245"/>
      <c r="K11" s="245"/>
      <c r="L11" s="245"/>
      <c r="M11" s="245"/>
      <c r="N11" s="245"/>
      <c r="O11" s="233"/>
      <c r="P11" s="230">
        <v>500</v>
      </c>
      <c r="Q11" s="230">
        <v>1000</v>
      </c>
      <c r="R11" s="231">
        <f t="shared" si="0"/>
        <v>-500</v>
      </c>
      <c r="S11" s="232">
        <f t="shared" si="1"/>
        <v>-0.5</v>
      </c>
      <c r="T11" s="233"/>
      <c r="U11" s="230">
        <v>525</v>
      </c>
      <c r="V11" s="230">
        <v>1000</v>
      </c>
      <c r="W11" s="232">
        <f t="shared" si="2"/>
        <v>-0.47499999999999998</v>
      </c>
      <c r="X11" s="812"/>
      <c r="Y11" s="57"/>
    </row>
    <row r="12" spans="1:37" x14ac:dyDescent="0.35">
      <c r="A12" s="42">
        <v>6</v>
      </c>
      <c r="C12" s="233" t="s">
        <v>4</v>
      </c>
      <c r="D12" s="243"/>
      <c r="E12" s="244"/>
      <c r="F12" s="245"/>
      <c r="G12" s="245"/>
      <c r="H12" s="245"/>
      <c r="I12" s="245"/>
      <c r="J12" s="245"/>
      <c r="K12" s="245"/>
      <c r="L12" s="245"/>
      <c r="M12" s="245"/>
      <c r="N12" s="245"/>
      <c r="O12" s="233"/>
      <c r="P12" s="230">
        <v>5000</v>
      </c>
      <c r="Q12" s="230">
        <v>5000</v>
      </c>
      <c r="R12" s="231">
        <f t="shared" si="0"/>
        <v>0</v>
      </c>
      <c r="S12" s="232">
        <f t="shared" si="1"/>
        <v>0</v>
      </c>
      <c r="T12" s="233"/>
      <c r="U12" s="230">
        <v>3507</v>
      </c>
      <c r="V12" s="230">
        <v>5000</v>
      </c>
      <c r="W12" s="232">
        <f t="shared" si="2"/>
        <v>-0.29859999999999998</v>
      </c>
      <c r="X12" s="234"/>
      <c r="Y12" s="57"/>
    </row>
    <row r="13" spans="1:37" x14ac:dyDescent="0.35">
      <c r="A13" s="42">
        <v>7</v>
      </c>
      <c r="C13" s="233" t="s">
        <v>5</v>
      </c>
      <c r="D13" s="243"/>
      <c r="E13" s="244"/>
      <c r="F13" s="245"/>
      <c r="G13" s="245"/>
      <c r="H13" s="245"/>
      <c r="I13" s="245"/>
      <c r="J13" s="245"/>
      <c r="K13" s="245"/>
      <c r="L13" s="245"/>
      <c r="M13" s="245"/>
      <c r="N13" s="245"/>
      <c r="O13" s="233"/>
      <c r="P13" s="230">
        <v>1500</v>
      </c>
      <c r="Q13" s="230">
        <v>3000</v>
      </c>
      <c r="R13" s="231">
        <f t="shared" si="0"/>
        <v>-1500</v>
      </c>
      <c r="S13" s="232">
        <f t="shared" si="1"/>
        <v>-0.5</v>
      </c>
      <c r="T13" s="233"/>
      <c r="U13" s="230">
        <v>817</v>
      </c>
      <c r="V13" s="230">
        <v>3000</v>
      </c>
      <c r="W13" s="232">
        <f t="shared" si="2"/>
        <v>-0.72766666666666668</v>
      </c>
      <c r="X13" s="234"/>
      <c r="Y13" s="57"/>
    </row>
    <row r="14" spans="1:37" x14ac:dyDescent="0.35">
      <c r="A14" s="42">
        <v>8</v>
      </c>
      <c r="B14" s="9" t="s">
        <v>6</v>
      </c>
      <c r="C14" s="9"/>
      <c r="D14" s="9"/>
      <c r="E14" s="79"/>
      <c r="F14" s="79"/>
      <c r="G14" s="79"/>
      <c r="H14" s="79"/>
      <c r="I14" s="79"/>
      <c r="J14" s="79"/>
      <c r="K14" s="79"/>
      <c r="L14" s="79"/>
      <c r="M14" s="79"/>
      <c r="N14" s="79"/>
      <c r="O14" s="9"/>
      <c r="P14" s="9">
        <f>SUM(P7:P13)</f>
        <v>454000</v>
      </c>
      <c r="Q14" s="9">
        <f>SUM(Q7:Q13)</f>
        <v>489500</v>
      </c>
      <c r="R14" s="9">
        <f>SUM(R7:R13)</f>
        <v>-35500</v>
      </c>
      <c r="S14" s="10">
        <f t="shared" si="1"/>
        <v>-7.2522982635342181E-2</v>
      </c>
      <c r="U14" s="9">
        <f>SUM(U7:U13)</f>
        <v>464049.64</v>
      </c>
      <c r="V14" s="9">
        <f>SUM(V7:V13)</f>
        <v>489500</v>
      </c>
      <c r="W14" s="10">
        <f t="shared" si="2"/>
        <v>-5.1992563840653698E-2</v>
      </c>
      <c r="X14" s="70"/>
      <c r="Y14" s="58"/>
    </row>
    <row r="15" spans="1:37" s="865" customFormat="1" ht="19.5" customHeight="1" x14ac:dyDescent="0.35">
      <c r="A15" s="864">
        <v>10</v>
      </c>
      <c r="B15" s="881" t="s">
        <v>7</v>
      </c>
      <c r="D15" s="866"/>
      <c r="E15" s="867"/>
      <c r="F15" s="868"/>
      <c r="G15" s="868"/>
      <c r="H15" s="868"/>
      <c r="I15" s="868"/>
      <c r="J15" s="868"/>
      <c r="K15" s="868"/>
      <c r="L15" s="868"/>
      <c r="M15" s="868"/>
      <c r="N15" s="868"/>
      <c r="S15" s="868"/>
      <c r="W15" s="868"/>
      <c r="X15" s="869"/>
      <c r="Y15" s="870"/>
    </row>
    <row r="16" spans="1:37" x14ac:dyDescent="0.35">
      <c r="A16" s="42">
        <v>11</v>
      </c>
      <c r="C16" s="228" t="s">
        <v>319</v>
      </c>
      <c r="D16" s="240"/>
      <c r="E16" s="241"/>
      <c r="F16" s="242"/>
      <c r="G16" s="242"/>
      <c r="H16" s="242"/>
      <c r="I16" s="242"/>
      <c r="J16" s="242"/>
      <c r="K16" s="242"/>
      <c r="L16" s="242"/>
      <c r="M16" s="242"/>
      <c r="N16" s="242"/>
      <c r="O16" s="228"/>
      <c r="P16" s="225">
        <v>4000</v>
      </c>
      <c r="Q16" s="225">
        <v>9000</v>
      </c>
      <c r="R16" s="226">
        <f>+P16-Q16</f>
        <v>-5000</v>
      </c>
      <c r="S16" s="227">
        <f t="shared" ref="S16:S20" si="6">IF(Q16=0,"NA",(+P16-Q16)/Q16)</f>
        <v>-0.55555555555555558</v>
      </c>
      <c r="T16" s="228"/>
      <c r="U16" s="225">
        <f>60455.23-0.82</f>
        <v>60454.41</v>
      </c>
      <c r="V16" s="225">
        <v>9000</v>
      </c>
      <c r="W16" s="227">
        <f t="shared" ref="W16:W20" si="7">IF(V16=0,"NA",(+U16-V16)/V16)</f>
        <v>5.7171566666666669</v>
      </c>
      <c r="X16" s="229" t="s">
        <v>599</v>
      </c>
      <c r="Y16" s="57"/>
    </row>
    <row r="17" spans="1:37" x14ac:dyDescent="0.35">
      <c r="A17" s="42">
        <v>14</v>
      </c>
      <c r="C17" s="233" t="s">
        <v>9</v>
      </c>
      <c r="D17" s="243"/>
      <c r="E17" s="244"/>
      <c r="F17" s="245"/>
      <c r="G17" s="245"/>
      <c r="H17" s="245"/>
      <c r="I17" s="245"/>
      <c r="J17" s="245"/>
      <c r="K17" s="245"/>
      <c r="L17" s="245"/>
      <c r="M17" s="245"/>
      <c r="N17" s="245"/>
      <c r="O17" s="233"/>
      <c r="P17" s="230">
        <v>0</v>
      </c>
      <c r="Q17" s="230">
        <v>0</v>
      </c>
      <c r="R17" s="231">
        <f>+P17-Q17</f>
        <v>0</v>
      </c>
      <c r="S17" s="232" t="str">
        <f t="shared" si="6"/>
        <v>NA</v>
      </c>
      <c r="T17" s="233"/>
      <c r="U17" s="230">
        <v>0.82</v>
      </c>
      <c r="V17" s="230">
        <v>0</v>
      </c>
      <c r="W17" s="232" t="str">
        <f t="shared" si="7"/>
        <v>NA</v>
      </c>
      <c r="X17" s="249"/>
      <c r="Y17" s="58"/>
    </row>
    <row r="18" spans="1:37" hidden="1" x14ac:dyDescent="0.35">
      <c r="A18" s="42">
        <v>15</v>
      </c>
      <c r="C18" s="238" t="s">
        <v>91</v>
      </c>
      <c r="D18" s="246"/>
      <c r="E18" s="247"/>
      <c r="F18" s="248"/>
      <c r="G18" s="248"/>
      <c r="H18" s="248"/>
      <c r="I18" s="248"/>
      <c r="J18" s="248"/>
      <c r="K18" s="248"/>
      <c r="L18" s="248"/>
      <c r="M18" s="248"/>
      <c r="N18" s="248"/>
      <c r="O18" s="238"/>
      <c r="P18" s="235">
        <v>0</v>
      </c>
      <c r="Q18" s="235">
        <v>0</v>
      </c>
      <c r="R18" s="236">
        <f>+P18-Q18</f>
        <v>0</v>
      </c>
      <c r="S18" s="237" t="str">
        <f t="shared" si="6"/>
        <v>NA</v>
      </c>
      <c r="T18" s="238"/>
      <c r="U18" s="235">
        <v>0</v>
      </c>
      <c r="V18" s="235">
        <v>0</v>
      </c>
      <c r="W18" s="237" t="str">
        <f t="shared" si="7"/>
        <v>NA</v>
      </c>
      <c r="X18" s="250"/>
      <c r="Y18" s="58"/>
      <c r="Z18" s="1">
        <v>11000</v>
      </c>
    </row>
    <row r="19" spans="1:37" x14ac:dyDescent="0.35">
      <c r="A19" s="42">
        <v>16</v>
      </c>
      <c r="B19" s="9" t="s">
        <v>8</v>
      </c>
      <c r="C19" s="9"/>
      <c r="D19" s="9"/>
      <c r="E19" s="79"/>
      <c r="F19" s="79"/>
      <c r="G19" s="79"/>
      <c r="H19" s="79"/>
      <c r="I19" s="79"/>
      <c r="J19" s="79"/>
      <c r="K19" s="79"/>
      <c r="L19" s="79"/>
      <c r="M19" s="79"/>
      <c r="N19" s="79"/>
      <c r="O19" s="9"/>
      <c r="P19" s="9">
        <f>SUM(P16:P18)</f>
        <v>4000</v>
      </c>
      <c r="Q19" s="9">
        <f>SUM(Q16:Q18)</f>
        <v>9000</v>
      </c>
      <c r="R19" s="9">
        <f>SUM(R16:R18)</f>
        <v>-5000</v>
      </c>
      <c r="S19" s="10">
        <f t="shared" si="6"/>
        <v>-0.55555555555555558</v>
      </c>
      <c r="U19" s="9">
        <f>SUM(U16:U18)</f>
        <v>60455.23</v>
      </c>
      <c r="V19" s="9">
        <f>SUM(V16:V18)</f>
        <v>9000</v>
      </c>
      <c r="W19" s="10">
        <f t="shared" si="7"/>
        <v>5.7172477777777777</v>
      </c>
      <c r="X19" s="70"/>
      <c r="Y19" s="58"/>
    </row>
    <row r="20" spans="1:37" x14ac:dyDescent="0.35">
      <c r="A20" s="42">
        <v>17</v>
      </c>
      <c r="B20" s="9" t="s">
        <v>10</v>
      </c>
      <c r="C20" s="9"/>
      <c r="D20" s="9"/>
      <c r="E20" s="79"/>
      <c r="F20" s="79"/>
      <c r="G20" s="79"/>
      <c r="H20" s="79"/>
      <c r="I20" s="79"/>
      <c r="J20" s="79"/>
      <c r="K20" s="79"/>
      <c r="L20" s="79"/>
      <c r="M20" s="79"/>
      <c r="N20" s="79"/>
      <c r="O20" s="9"/>
      <c r="P20" s="9">
        <f>+P14+P19</f>
        <v>458000</v>
      </c>
      <c r="Q20" s="9">
        <f>+Q14+Q19</f>
        <v>498500</v>
      </c>
      <c r="R20" s="9">
        <f>+R14+R19</f>
        <v>-40500</v>
      </c>
      <c r="S20" s="10">
        <f t="shared" si="6"/>
        <v>-8.1243731193580748E-2</v>
      </c>
      <c r="U20" s="9">
        <f>+U14+U19</f>
        <v>524504.87</v>
      </c>
      <c r="V20" s="9">
        <f>+V14+V19</f>
        <v>498500</v>
      </c>
      <c r="W20" s="10">
        <f t="shared" si="7"/>
        <v>5.2166238716148436E-2</v>
      </c>
      <c r="X20" s="70"/>
      <c r="Y20" s="58"/>
    </row>
    <row r="21" spans="1:37" s="872" customFormat="1" ht="27" customHeight="1" x14ac:dyDescent="0.55000000000000004">
      <c r="A21" s="871">
        <v>19</v>
      </c>
      <c r="B21" s="878" t="s">
        <v>11</v>
      </c>
      <c r="D21" s="873"/>
      <c r="E21" s="874"/>
      <c r="F21" s="875"/>
      <c r="G21" s="875"/>
      <c r="H21" s="875"/>
      <c r="I21" s="875"/>
      <c r="J21" s="875"/>
      <c r="K21" s="875"/>
      <c r="L21" s="875"/>
      <c r="M21" s="875"/>
      <c r="N21" s="875"/>
      <c r="S21" s="875"/>
      <c r="W21" s="875"/>
      <c r="X21" s="876"/>
      <c r="Y21" s="877"/>
    </row>
    <row r="22" spans="1:37" ht="23" customHeight="1" x14ac:dyDescent="0.35">
      <c r="B22" s="6" t="s">
        <v>88</v>
      </c>
      <c r="S22" s="38"/>
      <c r="W22" s="38"/>
      <c r="X22" s="70"/>
      <c r="Y22" s="58"/>
    </row>
    <row r="23" spans="1:37" ht="14.5" customHeight="1" x14ac:dyDescent="0.35">
      <c r="B23" s="6"/>
      <c r="C23" s="228" t="s">
        <v>322</v>
      </c>
      <c r="D23" s="240"/>
      <c r="E23" s="241"/>
      <c r="F23" s="242"/>
      <c r="G23" s="242"/>
      <c r="H23" s="242"/>
      <c r="I23" s="242"/>
      <c r="J23" s="242"/>
      <c r="K23" s="242"/>
      <c r="L23" s="242"/>
      <c r="M23" s="242"/>
      <c r="N23" s="242"/>
      <c r="O23" s="228"/>
      <c r="P23" s="253">
        <v>21000</v>
      </c>
      <c r="Q23" s="253">
        <v>28790</v>
      </c>
      <c r="R23" s="226">
        <f t="shared" ref="R23:R31" si="8">+P23-Q23</f>
        <v>-7790</v>
      </c>
      <c r="S23" s="227">
        <f t="shared" ref="S23:S31" si="9">IF(Q23=0,"NA",(+P23-Q23)/Q23)</f>
        <v>-0.27058006252170891</v>
      </c>
      <c r="T23" s="228"/>
      <c r="U23" s="225">
        <v>28790</v>
      </c>
      <c r="V23" s="225">
        <v>28790</v>
      </c>
      <c r="W23" s="227">
        <f t="shared" ref="W23:W31" si="10">IF(V23=0,"NA",(+U23-V23)/V23)</f>
        <v>0</v>
      </c>
      <c r="X23" s="229"/>
      <c r="Y23" s="58"/>
    </row>
    <row r="24" spans="1:37" ht="14.5" customHeight="1" x14ac:dyDescent="0.35">
      <c r="B24" s="6"/>
      <c r="C24" s="233" t="s">
        <v>467</v>
      </c>
      <c r="D24" s="243"/>
      <c r="E24" s="244"/>
      <c r="F24" s="245"/>
      <c r="G24" s="245"/>
      <c r="H24" s="245"/>
      <c r="I24" s="245"/>
      <c r="J24" s="245"/>
      <c r="K24" s="245"/>
      <c r="L24" s="245"/>
      <c r="M24" s="245"/>
      <c r="N24" s="245"/>
      <c r="O24" s="233"/>
      <c r="P24" s="251">
        <v>0</v>
      </c>
      <c r="Q24" s="251">
        <v>3000</v>
      </c>
      <c r="R24" s="226">
        <f t="shared" si="8"/>
        <v>-3000</v>
      </c>
      <c r="S24" s="227">
        <f t="shared" si="9"/>
        <v>-1</v>
      </c>
      <c r="T24" s="228"/>
      <c r="U24" s="225">
        <v>3000</v>
      </c>
      <c r="V24" s="225">
        <v>3000</v>
      </c>
      <c r="W24" s="227">
        <f t="shared" si="10"/>
        <v>0</v>
      </c>
      <c r="X24" s="229" t="s">
        <v>381</v>
      </c>
      <c r="Y24" s="58"/>
    </row>
    <row r="25" spans="1:37" ht="14.5" customHeight="1" x14ac:dyDescent="0.35">
      <c r="B25" s="6"/>
      <c r="C25" s="233" t="s">
        <v>466</v>
      </c>
      <c r="D25" s="243"/>
      <c r="E25" s="244"/>
      <c r="F25" s="245"/>
      <c r="G25" s="245"/>
      <c r="H25" s="245"/>
      <c r="I25" s="245"/>
      <c r="J25" s="245"/>
      <c r="K25" s="245"/>
      <c r="L25" s="245"/>
      <c r="M25" s="245"/>
      <c r="N25" s="245"/>
      <c r="O25" s="233"/>
      <c r="P25" s="251">
        <v>500</v>
      </c>
      <c r="Q25" s="251">
        <v>1000</v>
      </c>
      <c r="R25" s="226">
        <f t="shared" si="8"/>
        <v>-500</v>
      </c>
      <c r="S25" s="227">
        <f t="shared" si="9"/>
        <v>-0.5</v>
      </c>
      <c r="T25" s="228"/>
      <c r="U25" s="225">
        <v>1000</v>
      </c>
      <c r="V25" s="225">
        <v>1000</v>
      </c>
      <c r="W25" s="227">
        <f t="shared" si="10"/>
        <v>0</v>
      </c>
      <c r="X25" s="229"/>
      <c r="Y25" s="58"/>
    </row>
    <row r="26" spans="1:37" ht="14.5" customHeight="1" x14ac:dyDescent="0.35">
      <c r="B26" s="6"/>
      <c r="C26" s="233" t="s">
        <v>331</v>
      </c>
      <c r="D26" s="243"/>
      <c r="E26" s="244"/>
      <c r="F26" s="245"/>
      <c r="G26" s="245"/>
      <c r="H26" s="245"/>
      <c r="I26" s="245"/>
      <c r="J26" s="245"/>
      <c r="K26" s="245"/>
      <c r="L26" s="245"/>
      <c r="M26" s="245"/>
      <c r="N26" s="245"/>
      <c r="O26" s="233"/>
      <c r="P26" s="251">
        <v>1500</v>
      </c>
      <c r="Q26" s="251">
        <v>2000</v>
      </c>
      <c r="R26" s="226">
        <f t="shared" si="8"/>
        <v>-500</v>
      </c>
      <c r="S26" s="227">
        <f t="shared" si="9"/>
        <v>-0.25</v>
      </c>
      <c r="T26" s="228"/>
      <c r="U26" s="225">
        <v>2000</v>
      </c>
      <c r="V26" s="225">
        <v>2000</v>
      </c>
      <c r="W26" s="227">
        <f t="shared" si="10"/>
        <v>0</v>
      </c>
      <c r="X26" s="229"/>
      <c r="Y26" s="58"/>
    </row>
    <row r="27" spans="1:37" ht="14.5" customHeight="1" x14ac:dyDescent="0.35">
      <c r="B27" s="6"/>
      <c r="C27" s="233" t="s">
        <v>325</v>
      </c>
      <c r="D27" s="243"/>
      <c r="E27" s="244"/>
      <c r="F27" s="245"/>
      <c r="G27" s="245"/>
      <c r="H27" s="245"/>
      <c r="I27" s="245"/>
      <c r="J27" s="245"/>
      <c r="K27" s="245"/>
      <c r="L27" s="245"/>
      <c r="M27" s="245"/>
      <c r="N27" s="245"/>
      <c r="O27" s="233"/>
      <c r="P27" s="251">
        <v>750</v>
      </c>
      <c r="Q27" s="251">
        <v>750</v>
      </c>
      <c r="R27" s="226">
        <f t="shared" si="8"/>
        <v>0</v>
      </c>
      <c r="S27" s="227">
        <f t="shared" si="9"/>
        <v>0</v>
      </c>
      <c r="T27" s="228"/>
      <c r="U27" s="225">
        <v>750</v>
      </c>
      <c r="V27" s="225">
        <v>750</v>
      </c>
      <c r="W27" s="227">
        <f t="shared" si="10"/>
        <v>0</v>
      </c>
      <c r="X27" s="229"/>
      <c r="Y27" s="58"/>
    </row>
    <row r="28" spans="1:37" ht="14.5" customHeight="1" x14ac:dyDescent="0.35">
      <c r="B28" s="6"/>
      <c r="C28" s="233" t="s">
        <v>326</v>
      </c>
      <c r="D28" s="243"/>
      <c r="E28" s="244"/>
      <c r="F28" s="245"/>
      <c r="G28" s="245"/>
      <c r="H28" s="245"/>
      <c r="I28" s="245"/>
      <c r="J28" s="245"/>
      <c r="K28" s="245"/>
      <c r="L28" s="245"/>
      <c r="M28" s="245"/>
      <c r="N28" s="245"/>
      <c r="O28" s="233"/>
      <c r="P28" s="251">
        <v>1000</v>
      </c>
      <c r="Q28" s="251">
        <v>1000</v>
      </c>
      <c r="R28" s="226">
        <f t="shared" si="8"/>
        <v>0</v>
      </c>
      <c r="S28" s="227">
        <f t="shared" si="9"/>
        <v>0</v>
      </c>
      <c r="T28" s="228"/>
      <c r="U28" s="225">
        <v>1000</v>
      </c>
      <c r="V28" s="225">
        <v>1000</v>
      </c>
      <c r="W28" s="227">
        <f t="shared" si="10"/>
        <v>0</v>
      </c>
      <c r="X28" s="229"/>
      <c r="Y28" s="58"/>
    </row>
    <row r="29" spans="1:37" ht="14.5" customHeight="1" x14ac:dyDescent="0.35">
      <c r="B29" s="6"/>
      <c r="C29" s="233" t="s">
        <v>327</v>
      </c>
      <c r="D29" s="243"/>
      <c r="E29" s="244"/>
      <c r="F29" s="245"/>
      <c r="G29" s="245"/>
      <c r="H29" s="245"/>
      <c r="I29" s="245"/>
      <c r="J29" s="245"/>
      <c r="K29" s="245"/>
      <c r="L29" s="245"/>
      <c r="M29" s="245"/>
      <c r="N29" s="245"/>
      <c r="O29" s="233"/>
      <c r="P29" s="251">
        <v>1000</v>
      </c>
      <c r="Q29" s="251">
        <v>1500</v>
      </c>
      <c r="R29" s="226">
        <f t="shared" si="8"/>
        <v>-500</v>
      </c>
      <c r="S29" s="227">
        <f t="shared" si="9"/>
        <v>-0.33333333333333331</v>
      </c>
      <c r="T29" s="228"/>
      <c r="U29" s="225">
        <f>1500+1738</f>
        <v>3238</v>
      </c>
      <c r="V29" s="225">
        <v>1500</v>
      </c>
      <c r="W29" s="227">
        <f t="shared" si="10"/>
        <v>1.1586666666666667</v>
      </c>
      <c r="X29" s="229"/>
      <c r="Y29" s="58"/>
    </row>
    <row r="30" spans="1:37" ht="14.5" customHeight="1" x14ac:dyDescent="0.35">
      <c r="B30" s="6"/>
      <c r="C30" s="233" t="s">
        <v>465</v>
      </c>
      <c r="D30" s="243"/>
      <c r="E30" s="244"/>
      <c r="F30" s="245"/>
      <c r="G30" s="245"/>
      <c r="H30" s="245"/>
      <c r="I30" s="245"/>
      <c r="J30" s="245"/>
      <c r="K30" s="245"/>
      <c r="L30" s="245"/>
      <c r="M30" s="245"/>
      <c r="N30" s="245"/>
      <c r="O30" s="233"/>
      <c r="P30" s="251">
        <v>1000</v>
      </c>
      <c r="Q30" s="251">
        <v>1500</v>
      </c>
      <c r="R30" s="226">
        <f t="shared" si="8"/>
        <v>-500</v>
      </c>
      <c r="S30" s="227">
        <f t="shared" si="9"/>
        <v>-0.33333333333333331</v>
      </c>
      <c r="T30" s="228"/>
      <c r="U30" s="225">
        <v>1500</v>
      </c>
      <c r="V30" s="225">
        <v>1500</v>
      </c>
      <c r="W30" s="227">
        <f t="shared" si="10"/>
        <v>0</v>
      </c>
      <c r="X30" s="229"/>
      <c r="Y30" s="58"/>
    </row>
    <row r="31" spans="1:37" ht="14.5" customHeight="1" x14ac:dyDescent="0.35">
      <c r="B31" s="6"/>
      <c r="C31" s="233" t="s">
        <v>329</v>
      </c>
      <c r="D31" s="243"/>
      <c r="E31" s="244"/>
      <c r="F31" s="245"/>
      <c r="G31" s="245"/>
      <c r="H31" s="245"/>
      <c r="I31" s="245"/>
      <c r="J31" s="245"/>
      <c r="K31" s="245"/>
      <c r="L31" s="245"/>
      <c r="M31" s="245"/>
      <c r="N31" s="245"/>
      <c r="O31" s="233"/>
      <c r="P31" s="251">
        <v>1000</v>
      </c>
      <c r="Q31" s="251">
        <v>500</v>
      </c>
      <c r="R31" s="226">
        <f t="shared" si="8"/>
        <v>500</v>
      </c>
      <c r="S31" s="227">
        <f t="shared" si="9"/>
        <v>1</v>
      </c>
      <c r="T31" s="228"/>
      <c r="U31" s="225">
        <v>500</v>
      </c>
      <c r="V31" s="225">
        <v>500</v>
      </c>
      <c r="W31" s="227">
        <f t="shared" si="10"/>
        <v>0</v>
      </c>
      <c r="X31" s="229"/>
      <c r="Y31" s="58"/>
    </row>
    <row r="32" spans="1:37" s="2" customFormat="1" ht="29" x14ac:dyDescent="0.35">
      <c r="A32" s="42">
        <v>26</v>
      </c>
      <c r="B32" s="541">
        <v>0.08</v>
      </c>
      <c r="C32" s="12" t="str">
        <f>ROUND((P32/P20),3)*100&amp;"% Benevolence"</f>
        <v>6.1% Benevolence</v>
      </c>
      <c r="D32" s="12"/>
      <c r="E32" s="80"/>
      <c r="F32" s="81"/>
      <c r="G32" s="81"/>
      <c r="H32" s="81"/>
      <c r="I32" s="81"/>
      <c r="J32" s="81"/>
      <c r="K32" s="81"/>
      <c r="L32" s="81"/>
      <c r="M32" s="81"/>
      <c r="N32" s="81"/>
      <c r="O32" s="11"/>
      <c r="P32" s="11">
        <f>SUM(P23:P31)</f>
        <v>27750</v>
      </c>
      <c r="Q32" s="11">
        <f>SUM(Q23:Q31)</f>
        <v>40040</v>
      </c>
      <c r="R32" s="11">
        <f t="shared" ref="R32" si="11">+P32-Q32</f>
        <v>-12290</v>
      </c>
      <c r="S32" s="13">
        <f>IF(Q32=0,"NA",(+P32-Q32)/Q32)</f>
        <v>-0.30694305694305696</v>
      </c>
      <c r="T32" s="1"/>
      <c r="U32" s="560">
        <f>SUM(U23:U31)</f>
        <v>41778</v>
      </c>
      <c r="V32" s="560">
        <f>SUM(V23:V31)</f>
        <v>40040</v>
      </c>
      <c r="W32" s="13">
        <f>IF(V32=0,"NA",(+U32-V32)/V32)</f>
        <v>4.3406593406593405E-2</v>
      </c>
      <c r="X32" s="63" t="s">
        <v>560</v>
      </c>
      <c r="Y32" s="59"/>
      <c r="Z32" s="2" t="s">
        <v>365</v>
      </c>
      <c r="AF32" s="1">
        <f>+$P32</f>
        <v>27750</v>
      </c>
      <c r="AG32" s="1"/>
      <c r="AJ32" s="1">
        <f>+$U32</f>
        <v>41778</v>
      </c>
      <c r="AK32" s="1"/>
    </row>
    <row r="33" spans="1:35" s="2" customFormat="1" ht="23" customHeight="1" x14ac:dyDescent="0.35">
      <c r="A33" s="42">
        <v>28</v>
      </c>
      <c r="B33" s="18" t="s">
        <v>58</v>
      </c>
      <c r="C33" s="15"/>
      <c r="D33" s="14"/>
      <c r="E33" s="77"/>
      <c r="F33" s="77"/>
      <c r="G33" s="77"/>
      <c r="H33" s="77"/>
      <c r="I33" s="77"/>
      <c r="J33" s="77"/>
      <c r="K33" s="77"/>
      <c r="L33" s="77"/>
      <c r="M33" s="77"/>
      <c r="N33" s="77"/>
      <c r="O33" s="14"/>
      <c r="P33" s="559"/>
      <c r="Q33" s="853"/>
      <c r="R33" s="14"/>
      <c r="S33" s="17"/>
      <c r="T33" s="1"/>
      <c r="U33" s="14"/>
      <c r="V33" s="14"/>
      <c r="W33" s="17"/>
      <c r="X33" s="71"/>
      <c r="Y33" s="60"/>
    </row>
    <row r="34" spans="1:35" s="865" customFormat="1" ht="19.5" customHeight="1" x14ac:dyDescent="0.35">
      <c r="A34" s="864">
        <v>29</v>
      </c>
      <c r="B34" s="881" t="s">
        <v>12</v>
      </c>
      <c r="D34" s="866"/>
      <c r="E34" s="867"/>
      <c r="F34" s="868"/>
      <c r="G34" s="868"/>
      <c r="H34" s="868"/>
      <c r="I34" s="868"/>
      <c r="J34" s="868"/>
      <c r="K34" s="868"/>
      <c r="L34" s="868"/>
      <c r="M34" s="868"/>
      <c r="N34" s="868"/>
      <c r="S34" s="868"/>
      <c r="W34" s="868"/>
      <c r="X34" s="869"/>
      <c r="Y34" s="870"/>
    </row>
    <row r="35" spans="1:35" ht="19.5" customHeight="1" x14ac:dyDescent="0.35">
      <c r="A35" s="42">
        <v>30</v>
      </c>
      <c r="C35" s="393" t="s">
        <v>80</v>
      </c>
      <c r="D35" s="394"/>
      <c r="E35" s="395"/>
      <c r="F35" s="396"/>
      <c r="G35" s="396"/>
      <c r="H35" s="396"/>
      <c r="I35" s="396"/>
      <c r="J35" s="396"/>
      <c r="K35" s="396"/>
      <c r="L35" s="396"/>
      <c r="M35" s="396"/>
      <c r="N35" s="396"/>
      <c r="O35" s="393"/>
      <c r="P35" s="397">
        <v>1500</v>
      </c>
      <c r="Q35" s="397">
        <v>2300</v>
      </c>
      <c r="R35" s="398">
        <f t="shared" ref="R35:R43" si="12">+P35-Q35</f>
        <v>-800</v>
      </c>
      <c r="S35" s="399">
        <f t="shared" ref="S35:S44" si="13">IF(Q35=0,"NA",(+P35-Q35)/Q35)</f>
        <v>-0.34782608695652173</v>
      </c>
      <c r="T35" s="393"/>
      <c r="U35" s="397">
        <v>1009.72</v>
      </c>
      <c r="V35" s="397">
        <v>2300</v>
      </c>
      <c r="W35" s="399">
        <f t="shared" ref="W35:W44" si="14">IF(V35=0,"NA",(+U35-V35)/V35)</f>
        <v>-0.56099130434782607</v>
      </c>
      <c r="X35" s="789" t="s">
        <v>468</v>
      </c>
      <c r="Y35" s="57" t="s">
        <v>119</v>
      </c>
      <c r="AE35" s="1">
        <f>+$P35</f>
        <v>1500</v>
      </c>
      <c r="AI35" s="1">
        <f>+$U35</f>
        <v>1009.72</v>
      </c>
    </row>
    <row r="36" spans="1:35" ht="29" x14ac:dyDescent="0.35">
      <c r="C36" s="228"/>
      <c r="D36" s="240"/>
      <c r="E36" s="241"/>
      <c r="F36" s="242"/>
      <c r="G36" s="242"/>
      <c r="H36" s="242"/>
      <c r="I36" s="242"/>
      <c r="J36" s="242"/>
      <c r="K36" s="242"/>
      <c r="L36" s="242"/>
      <c r="M36" s="242"/>
      <c r="N36" s="242"/>
      <c r="O36" s="228"/>
      <c r="P36" s="225"/>
      <c r="Q36" s="225"/>
      <c r="R36" s="226"/>
      <c r="S36" s="227"/>
      <c r="T36" s="228"/>
      <c r="U36" s="225"/>
      <c r="V36" s="225"/>
      <c r="W36" s="227"/>
      <c r="X36" s="400" t="s">
        <v>280</v>
      </c>
      <c r="Y36" s="57"/>
    </row>
    <row r="37" spans="1:35" ht="14" customHeight="1" x14ac:dyDescent="0.35">
      <c r="A37" s="42">
        <v>31</v>
      </c>
      <c r="C37" s="238" t="s">
        <v>13</v>
      </c>
      <c r="D37" s="246"/>
      <c r="E37" s="247"/>
      <c r="F37" s="248"/>
      <c r="G37" s="248"/>
      <c r="H37" s="248"/>
      <c r="I37" s="248"/>
      <c r="J37" s="248"/>
      <c r="K37" s="248"/>
      <c r="L37" s="248"/>
      <c r="M37" s="248"/>
      <c r="N37" s="248"/>
      <c r="O37" s="238"/>
      <c r="P37" s="235">
        <v>1000</v>
      </c>
      <c r="Q37" s="235">
        <v>1000</v>
      </c>
      <c r="R37" s="236">
        <f t="shared" si="12"/>
        <v>0</v>
      </c>
      <c r="S37" s="237">
        <f t="shared" si="13"/>
        <v>0</v>
      </c>
      <c r="T37" s="238"/>
      <c r="U37" s="235">
        <v>256.57</v>
      </c>
      <c r="V37" s="235">
        <v>1000</v>
      </c>
      <c r="W37" s="237">
        <f t="shared" si="14"/>
        <v>-0.74343000000000004</v>
      </c>
      <c r="X37" s="637" t="s">
        <v>571</v>
      </c>
      <c r="Y37" s="61" t="s">
        <v>120</v>
      </c>
      <c r="AE37" s="1">
        <f t="shared" ref="AE37:AE43" si="15">+$P37</f>
        <v>1000</v>
      </c>
      <c r="AI37" s="1">
        <f t="shared" ref="AI37:AI43" si="16">+$U37</f>
        <v>256.57</v>
      </c>
    </row>
    <row r="38" spans="1:35" ht="43.5" x14ac:dyDescent="0.35">
      <c r="C38" s="228"/>
      <c r="D38" s="240"/>
      <c r="E38" s="241"/>
      <c r="F38" s="242"/>
      <c r="G38" s="242"/>
      <c r="H38" s="242"/>
      <c r="I38" s="242"/>
      <c r="J38" s="242"/>
      <c r="K38" s="242"/>
      <c r="L38" s="242"/>
      <c r="M38" s="242"/>
      <c r="N38" s="242"/>
      <c r="O38" s="228"/>
      <c r="P38" s="225"/>
      <c r="Q38" s="225"/>
      <c r="R38" s="226"/>
      <c r="S38" s="227"/>
      <c r="T38" s="228"/>
      <c r="U38" s="225"/>
      <c r="V38" s="225"/>
      <c r="W38" s="227"/>
      <c r="X38" s="400" t="s">
        <v>512</v>
      </c>
      <c r="Y38" s="61"/>
    </row>
    <row r="39" spans="1:35" ht="31" customHeight="1" x14ac:dyDescent="0.35">
      <c r="A39" s="42">
        <v>32</v>
      </c>
      <c r="C39" s="238" t="s">
        <v>292</v>
      </c>
      <c r="D39" s="246"/>
      <c r="E39" s="247"/>
      <c r="F39" s="248"/>
      <c r="G39" s="248"/>
      <c r="H39" s="248"/>
      <c r="I39" s="248"/>
      <c r="J39" s="248"/>
      <c r="K39" s="248"/>
      <c r="L39" s="248"/>
      <c r="M39" s="248"/>
      <c r="N39" s="248"/>
      <c r="O39" s="238"/>
      <c r="P39" s="235">
        <v>250</v>
      </c>
      <c r="Q39" s="235">
        <v>250</v>
      </c>
      <c r="R39" s="236">
        <f t="shared" si="12"/>
        <v>0</v>
      </c>
      <c r="S39" s="237">
        <f t="shared" si="13"/>
        <v>0</v>
      </c>
      <c r="T39" s="238"/>
      <c r="U39" s="235">
        <v>0</v>
      </c>
      <c r="V39" s="235">
        <v>250</v>
      </c>
      <c r="W39" s="237">
        <f t="shared" si="14"/>
        <v>-1</v>
      </c>
      <c r="X39" s="239" t="s">
        <v>572</v>
      </c>
      <c r="Y39" s="61" t="s">
        <v>121</v>
      </c>
      <c r="AE39" s="1">
        <f t="shared" si="15"/>
        <v>250</v>
      </c>
      <c r="AI39" s="1">
        <f t="shared" si="16"/>
        <v>0</v>
      </c>
    </row>
    <row r="40" spans="1:35" ht="14" customHeight="1" x14ac:dyDescent="0.35">
      <c r="A40" s="42">
        <v>33</v>
      </c>
      <c r="C40" s="238" t="s">
        <v>14</v>
      </c>
      <c r="D40" s="246"/>
      <c r="E40" s="247"/>
      <c r="F40" s="248"/>
      <c r="G40" s="248"/>
      <c r="H40" s="248"/>
      <c r="I40" s="248"/>
      <c r="J40" s="248"/>
      <c r="K40" s="248"/>
      <c r="L40" s="248"/>
      <c r="M40" s="248"/>
      <c r="N40" s="248"/>
      <c r="O40" s="238"/>
      <c r="P40" s="235">
        <v>300</v>
      </c>
      <c r="Q40" s="235">
        <v>300</v>
      </c>
      <c r="R40" s="236">
        <f t="shared" si="12"/>
        <v>0</v>
      </c>
      <c r="S40" s="237">
        <f t="shared" si="13"/>
        <v>0</v>
      </c>
      <c r="T40" s="238"/>
      <c r="U40" s="235">
        <v>300</v>
      </c>
      <c r="V40" s="235">
        <v>300</v>
      </c>
      <c r="W40" s="237">
        <f t="shared" si="14"/>
        <v>0</v>
      </c>
      <c r="X40" s="239" t="s">
        <v>573</v>
      </c>
      <c r="Y40" s="57" t="s">
        <v>122</v>
      </c>
      <c r="AE40" s="1">
        <f t="shared" si="15"/>
        <v>300</v>
      </c>
      <c r="AI40" s="1">
        <f t="shared" si="16"/>
        <v>300</v>
      </c>
    </row>
    <row r="41" spans="1:35" ht="14.5" customHeight="1" x14ac:dyDescent="0.35">
      <c r="A41" s="42">
        <v>34</v>
      </c>
      <c r="C41" s="238" t="s">
        <v>279</v>
      </c>
      <c r="D41" s="246"/>
      <c r="E41" s="247"/>
      <c r="F41" s="248"/>
      <c r="G41" s="248"/>
      <c r="H41" s="248"/>
      <c r="I41" s="248"/>
      <c r="J41" s="248"/>
      <c r="K41" s="248"/>
      <c r="L41" s="248"/>
      <c r="M41" s="248"/>
      <c r="N41" s="248"/>
      <c r="O41" s="238"/>
      <c r="P41" s="235">
        <v>200</v>
      </c>
      <c r="Q41" s="235">
        <v>200</v>
      </c>
      <c r="R41" s="236">
        <f t="shared" si="12"/>
        <v>0</v>
      </c>
      <c r="S41" s="237">
        <f t="shared" si="13"/>
        <v>0</v>
      </c>
      <c r="T41" s="238"/>
      <c r="U41" s="235">
        <v>68.8</v>
      </c>
      <c r="V41" s="235">
        <v>200</v>
      </c>
      <c r="W41" s="237">
        <f t="shared" si="14"/>
        <v>-0.65599999999999992</v>
      </c>
      <c r="X41" s="884" t="s">
        <v>574</v>
      </c>
      <c r="Y41" s="61" t="s">
        <v>123</v>
      </c>
      <c r="AE41" s="1">
        <f t="shared" si="15"/>
        <v>200</v>
      </c>
      <c r="AI41" s="1">
        <f t="shared" si="16"/>
        <v>68.8</v>
      </c>
    </row>
    <row r="42" spans="1:35" ht="29" x14ac:dyDescent="0.35">
      <c r="C42" s="238" t="s">
        <v>104</v>
      </c>
      <c r="D42" s="246"/>
      <c r="E42" s="247"/>
      <c r="F42" s="248"/>
      <c r="G42" s="248"/>
      <c r="H42" s="248"/>
      <c r="I42" s="248"/>
      <c r="J42" s="248"/>
      <c r="K42" s="248"/>
      <c r="L42" s="248"/>
      <c r="M42" s="248"/>
      <c r="N42" s="248"/>
      <c r="O42" s="238"/>
      <c r="P42" s="235">
        <v>550</v>
      </c>
      <c r="Q42" s="235">
        <v>550</v>
      </c>
      <c r="R42" s="236">
        <f t="shared" si="12"/>
        <v>0</v>
      </c>
      <c r="S42" s="237">
        <f>IF(Q42=0,"NA",(+P42-Q42)/Q42)</f>
        <v>0</v>
      </c>
      <c r="T42" s="238"/>
      <c r="U42" s="235">
        <v>228.67</v>
      </c>
      <c r="V42" s="235">
        <v>550</v>
      </c>
      <c r="W42" s="237">
        <f>IF(V42=0,"NA",(+U42-V42)/V42)</f>
        <v>-0.58423636363636366</v>
      </c>
      <c r="X42" s="880" t="s">
        <v>568</v>
      </c>
      <c r="Y42" s="61" t="s">
        <v>124</v>
      </c>
      <c r="AE42" s="1">
        <f t="shared" si="15"/>
        <v>550</v>
      </c>
      <c r="AI42" s="1">
        <f t="shared" si="16"/>
        <v>228.67</v>
      </c>
    </row>
    <row r="43" spans="1:35" ht="14.5" customHeight="1" x14ac:dyDescent="0.35">
      <c r="A43" s="42">
        <v>35</v>
      </c>
      <c r="C43" s="238" t="s">
        <v>84</v>
      </c>
      <c r="D43" s="246"/>
      <c r="E43" s="247"/>
      <c r="F43" s="248"/>
      <c r="G43" s="248"/>
      <c r="H43" s="248"/>
      <c r="I43" s="248"/>
      <c r="J43" s="248"/>
      <c r="K43" s="248"/>
      <c r="L43" s="248"/>
      <c r="M43" s="248"/>
      <c r="N43" s="248"/>
      <c r="O43" s="238"/>
      <c r="P43" s="235">
        <v>250</v>
      </c>
      <c r="Q43" s="235">
        <v>250</v>
      </c>
      <c r="R43" s="236">
        <f t="shared" si="12"/>
        <v>0</v>
      </c>
      <c r="S43" s="237">
        <f t="shared" si="13"/>
        <v>0</v>
      </c>
      <c r="T43" s="238"/>
      <c r="U43" s="235">
        <v>0</v>
      </c>
      <c r="V43" s="235">
        <v>250</v>
      </c>
      <c r="W43" s="237">
        <f t="shared" si="14"/>
        <v>-1</v>
      </c>
      <c r="X43" s="239" t="s">
        <v>575</v>
      </c>
      <c r="Y43" s="61" t="s">
        <v>125</v>
      </c>
      <c r="AE43" s="1">
        <f t="shared" si="15"/>
        <v>250</v>
      </c>
      <c r="AI43" s="1">
        <f t="shared" si="16"/>
        <v>0</v>
      </c>
    </row>
    <row r="44" spans="1:35" s="2" customFormat="1" x14ac:dyDescent="0.35">
      <c r="A44" s="42">
        <v>36</v>
      </c>
      <c r="B44" s="19" t="s">
        <v>16</v>
      </c>
      <c r="C44" s="19"/>
      <c r="D44" s="36"/>
      <c r="E44" s="82"/>
      <c r="F44" s="82"/>
      <c r="G44" s="82"/>
      <c r="H44" s="82"/>
      <c r="I44" s="82"/>
      <c r="J44" s="82"/>
      <c r="K44" s="82"/>
      <c r="L44" s="82"/>
      <c r="M44" s="82"/>
      <c r="N44" s="82"/>
      <c r="O44" s="36"/>
      <c r="P44" s="19">
        <f>SUM(P35:P43)</f>
        <v>4050</v>
      </c>
      <c r="Q44" s="36">
        <f>SUM(Q35:Q43)</f>
        <v>4850</v>
      </c>
      <c r="R44" s="36">
        <f>SUM(R35:R43)</f>
        <v>-800</v>
      </c>
      <c r="S44" s="20">
        <f t="shared" si="13"/>
        <v>-0.16494845360824742</v>
      </c>
      <c r="U44" s="36">
        <f>SUM(U35:U43)</f>
        <v>1863.76</v>
      </c>
      <c r="V44" s="36">
        <f>SUM(V35:V43)</f>
        <v>4850</v>
      </c>
      <c r="W44" s="20">
        <f t="shared" si="14"/>
        <v>-0.61571958762886592</v>
      </c>
      <c r="X44" s="235"/>
      <c r="Y44" s="60"/>
    </row>
    <row r="45" spans="1:35" ht="19.5" customHeight="1" x14ac:dyDescent="0.35">
      <c r="A45" s="42">
        <v>40</v>
      </c>
      <c r="B45" s="881" t="s">
        <v>145</v>
      </c>
      <c r="S45" s="4"/>
      <c r="X45" s="70"/>
      <c r="Y45" s="58"/>
    </row>
    <row r="46" spans="1:35" ht="14" customHeight="1" x14ac:dyDescent="0.35">
      <c r="A46" s="42">
        <v>41</v>
      </c>
      <c r="C46" s="393" t="s">
        <v>17</v>
      </c>
      <c r="D46" s="394"/>
      <c r="E46" s="395"/>
      <c r="F46" s="396"/>
      <c r="G46" s="396"/>
      <c r="H46" s="396"/>
      <c r="I46" s="396"/>
      <c r="J46" s="396"/>
      <c r="K46" s="396"/>
      <c r="L46" s="396"/>
      <c r="M46" s="396"/>
      <c r="N46" s="396"/>
      <c r="O46" s="393"/>
      <c r="P46" s="401">
        <v>3500</v>
      </c>
      <c r="Q46" s="401">
        <v>3500</v>
      </c>
      <c r="R46" s="398">
        <f>+P46-Q46</f>
        <v>0</v>
      </c>
      <c r="S46" s="399">
        <f>IF(Q46=0,"NA",(+P46-Q46)/Q46)</f>
        <v>0</v>
      </c>
      <c r="T46" s="393"/>
      <c r="U46" s="397">
        <v>3428.37</v>
      </c>
      <c r="V46" s="397">
        <v>3500</v>
      </c>
      <c r="W46" s="399">
        <f>IF(V46=0,"NA",(+U46-V46)/V46)</f>
        <v>-2.0465714285714316E-2</v>
      </c>
      <c r="X46" s="540"/>
      <c r="Y46" s="61" t="s">
        <v>138</v>
      </c>
      <c r="AD46" s="1">
        <f>+$P46</f>
        <v>3500</v>
      </c>
      <c r="AH46" s="1">
        <f>+$U46</f>
        <v>3428.37</v>
      </c>
    </row>
    <row r="47" spans="1:35" x14ac:dyDescent="0.35">
      <c r="A47" s="42">
        <v>43</v>
      </c>
      <c r="C47" s="233" t="s">
        <v>18</v>
      </c>
      <c r="D47" s="243"/>
      <c r="E47" s="244"/>
      <c r="F47" s="245"/>
      <c r="G47" s="245"/>
      <c r="H47" s="245"/>
      <c r="I47" s="245"/>
      <c r="J47" s="245"/>
      <c r="K47" s="245"/>
      <c r="L47" s="245"/>
      <c r="M47" s="245"/>
      <c r="N47" s="245"/>
      <c r="O47" s="233"/>
      <c r="P47" s="230">
        <v>100</v>
      </c>
      <c r="Q47" s="230">
        <v>100</v>
      </c>
      <c r="R47" s="231">
        <f>+P47-Q47</f>
        <v>0</v>
      </c>
      <c r="S47" s="232">
        <f>IF(Q47=0,"NA",(+P47-Q47)/Q47)</f>
        <v>0</v>
      </c>
      <c r="T47" s="233"/>
      <c r="U47" s="230">
        <v>0</v>
      </c>
      <c r="V47" s="230">
        <v>100</v>
      </c>
      <c r="W47" s="232">
        <f>IF(V47=0,"NA",(+U47-V47)/V47)</f>
        <v>-1</v>
      </c>
      <c r="X47" s="638"/>
      <c r="Y47" s="57" t="s">
        <v>137</v>
      </c>
      <c r="AD47" s="1">
        <f>+$P47</f>
        <v>100</v>
      </c>
      <c r="AH47" s="1">
        <f>+$U47</f>
        <v>0</v>
      </c>
    </row>
    <row r="48" spans="1:35" x14ac:dyDescent="0.35">
      <c r="A48" s="42">
        <v>44</v>
      </c>
      <c r="C48" s="233" t="s">
        <v>19</v>
      </c>
      <c r="D48" s="243"/>
      <c r="E48" s="244"/>
      <c r="F48" s="245"/>
      <c r="G48" s="245"/>
      <c r="H48" s="245"/>
      <c r="I48" s="245"/>
      <c r="J48" s="245"/>
      <c r="K48" s="245"/>
      <c r="L48" s="245"/>
      <c r="M48" s="245"/>
      <c r="N48" s="245"/>
      <c r="O48" s="233"/>
      <c r="P48" s="230">
        <v>200</v>
      </c>
      <c r="Q48" s="230">
        <v>200</v>
      </c>
      <c r="R48" s="231">
        <f>+P48-Q48</f>
        <v>0</v>
      </c>
      <c r="S48" s="232">
        <f>IF(Q48=0,"NA",(+P48-Q48)/Q48)</f>
        <v>0</v>
      </c>
      <c r="T48" s="233"/>
      <c r="U48" s="230">
        <v>225.23</v>
      </c>
      <c r="V48" s="230">
        <v>200</v>
      </c>
      <c r="W48" s="232">
        <f>IF(V48=0,"NA",(+U48-V48)/V48)</f>
        <v>0.12614999999999996</v>
      </c>
      <c r="X48" s="638"/>
      <c r="Y48" s="58"/>
      <c r="AD48" s="1">
        <f>+$P48</f>
        <v>200</v>
      </c>
      <c r="AH48" s="1">
        <f>+$U48</f>
        <v>225.23</v>
      </c>
    </row>
    <row r="49" spans="1:36" s="2" customFormat="1" x14ac:dyDescent="0.35">
      <c r="A49" s="42">
        <v>45</v>
      </c>
      <c r="B49" s="19" t="s">
        <v>146</v>
      </c>
      <c r="C49" s="19"/>
      <c r="D49" s="36"/>
      <c r="E49" s="82"/>
      <c r="F49" s="82"/>
      <c r="G49" s="82"/>
      <c r="H49" s="82"/>
      <c r="I49" s="82"/>
      <c r="J49" s="82"/>
      <c r="K49" s="82"/>
      <c r="L49" s="82"/>
      <c r="M49" s="82"/>
      <c r="N49" s="82"/>
      <c r="O49" s="36"/>
      <c r="P49" s="19">
        <f>SUM(P46:P48)</f>
        <v>3800</v>
      </c>
      <c r="Q49" s="36">
        <f>SUM(Q46:Q48)</f>
        <v>3800</v>
      </c>
      <c r="R49" s="36">
        <f>SUM(R46:R48)</f>
        <v>0</v>
      </c>
      <c r="S49" s="20">
        <f>IF(Q49=0,"NA",(+P49-Q49)/Q49)</f>
        <v>0</v>
      </c>
      <c r="U49" s="36">
        <f>SUM(U46:U48)</f>
        <v>3653.6</v>
      </c>
      <c r="V49" s="36">
        <f>SUM(V46:V48)</f>
        <v>3800</v>
      </c>
      <c r="W49" s="20">
        <f>IF(V49=0,"NA",(+U49-V49)/V49)</f>
        <v>-3.8526315789473707E-2</v>
      </c>
      <c r="X49" s="70"/>
      <c r="Y49" s="58"/>
    </row>
    <row r="50" spans="1:36" ht="6.75" customHeight="1" x14ac:dyDescent="0.35">
      <c r="A50" s="42">
        <v>46</v>
      </c>
      <c r="D50" s="1"/>
      <c r="E50" s="38"/>
      <c r="S50" s="4"/>
      <c r="X50" s="70"/>
      <c r="Y50" s="58"/>
    </row>
    <row r="51" spans="1:36" s="2" customFormat="1" x14ac:dyDescent="0.35">
      <c r="A51" s="42">
        <v>51</v>
      </c>
      <c r="B51" s="19" t="s">
        <v>20</v>
      </c>
      <c r="C51" s="19"/>
      <c r="D51" s="36"/>
      <c r="E51" s="82"/>
      <c r="F51" s="82"/>
      <c r="G51" s="82"/>
      <c r="H51" s="82"/>
      <c r="I51" s="82"/>
      <c r="J51" s="82"/>
      <c r="K51" s="82"/>
      <c r="L51" s="82"/>
      <c r="M51" s="82"/>
      <c r="N51" s="82"/>
      <c r="O51" s="36"/>
      <c r="P51" s="47">
        <v>8000</v>
      </c>
      <c r="Q51" s="47">
        <v>12800</v>
      </c>
      <c r="R51" s="44">
        <f>+P51-Q51</f>
        <v>-4800</v>
      </c>
      <c r="S51" s="20">
        <f>IF(Q51=0,"NA",(+P51-Q51)/Q51)</f>
        <v>-0.375</v>
      </c>
      <c r="U51" s="47">
        <v>1407.68</v>
      </c>
      <c r="V51" s="47">
        <v>12800</v>
      </c>
      <c r="W51" s="20">
        <f>IF(V51=0,"NA",(+U51-V51)/V51)</f>
        <v>-0.89002499999999996</v>
      </c>
      <c r="X51" s="540" t="s">
        <v>513</v>
      </c>
      <c r="Y51" s="57"/>
      <c r="AE51" s="1">
        <f>+$P51</f>
        <v>8000</v>
      </c>
      <c r="AI51" s="1">
        <f>+$U51</f>
        <v>1407.68</v>
      </c>
    </row>
    <row r="52" spans="1:36" ht="19.5" customHeight="1" x14ac:dyDescent="0.35">
      <c r="A52" s="42">
        <v>53</v>
      </c>
      <c r="B52" s="881" t="s">
        <v>90</v>
      </c>
      <c r="S52" s="4"/>
      <c r="X52" s="70"/>
      <c r="Y52" s="58"/>
    </row>
    <row r="53" spans="1:36" x14ac:dyDescent="0.35">
      <c r="A53" s="42">
        <v>54</v>
      </c>
      <c r="C53" s="393" t="s">
        <v>92</v>
      </c>
      <c r="D53" s="394"/>
      <c r="E53" s="395"/>
      <c r="F53" s="396"/>
      <c r="G53" s="396"/>
      <c r="H53" s="396"/>
      <c r="I53" s="396"/>
      <c r="J53" s="396"/>
      <c r="K53" s="396"/>
      <c r="L53" s="396"/>
      <c r="M53" s="396"/>
      <c r="N53" s="396"/>
      <c r="O53" s="393"/>
      <c r="P53" s="397">
        <v>400</v>
      </c>
      <c r="Q53" s="397">
        <v>400</v>
      </c>
      <c r="R53" s="398">
        <f>+P53-Q53</f>
        <v>0</v>
      </c>
      <c r="S53" s="399">
        <f>IF(Q53=0,"NA",(+P53-Q53)/Q53)</f>
        <v>0</v>
      </c>
      <c r="T53" s="393"/>
      <c r="U53" s="397">
        <v>0</v>
      </c>
      <c r="V53" s="397">
        <v>400</v>
      </c>
      <c r="W53" s="399">
        <f>IF(V53=0,"NA",(+U53-V53)/V53)</f>
        <v>-1</v>
      </c>
      <c r="X53" s="789" t="s">
        <v>570</v>
      </c>
      <c r="Y53" s="57"/>
      <c r="AD53" s="1">
        <f>+$P53</f>
        <v>400</v>
      </c>
      <c r="AH53" s="1">
        <f>+$U53</f>
        <v>0</v>
      </c>
    </row>
    <row r="54" spans="1:36" x14ac:dyDescent="0.35">
      <c r="C54" s="393"/>
      <c r="D54" s="394"/>
      <c r="E54" s="395"/>
      <c r="F54" s="396"/>
      <c r="G54" s="396"/>
      <c r="H54" s="396"/>
      <c r="I54" s="396"/>
      <c r="J54" s="396"/>
      <c r="K54" s="396"/>
      <c r="L54" s="396"/>
      <c r="M54" s="396"/>
      <c r="N54" s="396"/>
      <c r="O54" s="393"/>
      <c r="P54" s="397"/>
      <c r="Q54" s="397"/>
      <c r="R54" s="398"/>
      <c r="S54" s="399"/>
      <c r="T54" s="393"/>
      <c r="U54" s="397"/>
      <c r="V54" s="397"/>
      <c r="W54" s="399"/>
      <c r="X54" s="229" t="s">
        <v>470</v>
      </c>
      <c r="Y54" s="57"/>
    </row>
    <row r="55" spans="1:36" x14ac:dyDescent="0.35">
      <c r="A55" s="42">
        <v>55</v>
      </c>
      <c r="C55" s="238" t="s">
        <v>87</v>
      </c>
      <c r="D55" s="246"/>
      <c r="E55" s="247"/>
      <c r="F55" s="248"/>
      <c r="G55" s="248"/>
      <c r="H55" s="248"/>
      <c r="I55" s="248"/>
      <c r="J55" s="248"/>
      <c r="K55" s="248"/>
      <c r="L55" s="248"/>
      <c r="M55" s="248"/>
      <c r="N55" s="248"/>
      <c r="O55" s="238"/>
      <c r="P55" s="235">
        <v>150</v>
      </c>
      <c r="Q55" s="235">
        <v>150</v>
      </c>
      <c r="R55" s="236">
        <f>+P55-Q55</f>
        <v>0</v>
      </c>
      <c r="S55" s="237">
        <f>IF(Q55=0,"NA",(+P55-Q55)/Q55)</f>
        <v>0</v>
      </c>
      <c r="T55" s="238"/>
      <c r="U55" s="235">
        <v>0</v>
      </c>
      <c r="V55" s="235">
        <v>150</v>
      </c>
      <c r="W55" s="237">
        <f>IF(V55=0,"NA",(+U55-V55)/V55)</f>
        <v>-1</v>
      </c>
      <c r="X55" s="789"/>
      <c r="Y55" s="57"/>
      <c r="AD55" s="1">
        <f>+$P55</f>
        <v>150</v>
      </c>
      <c r="AH55" s="1">
        <f>+$U55</f>
        <v>0</v>
      </c>
    </row>
    <row r="56" spans="1:36" s="2" customFormat="1" x14ac:dyDescent="0.35">
      <c r="A56" s="42">
        <v>56</v>
      </c>
      <c r="B56" s="19" t="s">
        <v>86</v>
      </c>
      <c r="C56" s="19"/>
      <c r="D56" s="36"/>
      <c r="E56" s="82"/>
      <c r="F56" s="82"/>
      <c r="G56" s="82"/>
      <c r="H56" s="82"/>
      <c r="I56" s="82"/>
      <c r="J56" s="82"/>
      <c r="K56" s="82"/>
      <c r="L56" s="82"/>
      <c r="M56" s="82"/>
      <c r="N56" s="82"/>
      <c r="O56" s="36"/>
      <c r="P56" s="19">
        <f>SUM(P53:P55)</f>
        <v>550</v>
      </c>
      <c r="Q56" s="36">
        <f>SUM(Q53:Q55)</f>
        <v>550</v>
      </c>
      <c r="R56" s="36">
        <f>SUM(R53:R55)</f>
        <v>0</v>
      </c>
      <c r="S56" s="20">
        <f>IF(Q56=0,"NA",(+P56-Q56)/Q56)</f>
        <v>0</v>
      </c>
      <c r="U56" s="36">
        <f>SUM(U53:U55)</f>
        <v>0</v>
      </c>
      <c r="V56" s="36">
        <f>SUM(V53:V55)</f>
        <v>550</v>
      </c>
      <c r="W56" s="20">
        <f>IF(V56=0,"NA",(+U56-V56)/V56)</f>
        <v>-1</v>
      </c>
      <c r="X56" s="71"/>
      <c r="Y56" s="60"/>
    </row>
    <row r="57" spans="1:36" ht="5.25" customHeight="1" x14ac:dyDescent="0.35">
      <c r="A57" s="42">
        <v>57</v>
      </c>
      <c r="S57" s="4"/>
      <c r="X57" s="70"/>
      <c r="Y57" s="58"/>
    </row>
    <row r="58" spans="1:36" ht="14" customHeight="1" x14ac:dyDescent="0.35">
      <c r="A58" s="42">
        <v>58</v>
      </c>
      <c r="B58" s="36" t="s">
        <v>469</v>
      </c>
      <c r="C58" s="21"/>
      <c r="D58" s="21"/>
      <c r="E58" s="83"/>
      <c r="F58" s="83"/>
      <c r="G58" s="83"/>
      <c r="H58" s="83"/>
      <c r="I58" s="83"/>
      <c r="J58" s="83"/>
      <c r="K58" s="83"/>
      <c r="L58" s="83"/>
      <c r="M58" s="83"/>
      <c r="N58" s="83"/>
      <c r="O58" s="21"/>
      <c r="P58" s="52">
        <v>200</v>
      </c>
      <c r="Q58" s="52">
        <v>200</v>
      </c>
      <c r="R58" s="44">
        <f>+P58-Q58</f>
        <v>0</v>
      </c>
      <c r="S58" s="20">
        <f>IF(Q58=0,"NA",(+P58-Q58)/Q58)</f>
        <v>0</v>
      </c>
      <c r="U58" s="52">
        <v>0</v>
      </c>
      <c r="V58" s="52">
        <v>200</v>
      </c>
      <c r="W58" s="20">
        <f>IF(V58=0,"NA",(+U58-V58)/V58)</f>
        <v>-1</v>
      </c>
      <c r="X58" s="400" t="s">
        <v>569</v>
      </c>
      <c r="Y58" s="57" t="s">
        <v>114</v>
      </c>
      <c r="AF58" s="1">
        <f>+$P58</f>
        <v>200</v>
      </c>
      <c r="AJ58" s="1">
        <f>+$U58</f>
        <v>0</v>
      </c>
    </row>
    <row r="59" spans="1:36" ht="19.5" customHeight="1" x14ac:dyDescent="0.35">
      <c r="A59" s="42">
        <v>60</v>
      </c>
      <c r="B59" s="881" t="s">
        <v>22</v>
      </c>
      <c r="S59" s="4"/>
      <c r="X59" s="70"/>
      <c r="Y59" s="58"/>
    </row>
    <row r="60" spans="1:36" x14ac:dyDescent="0.35">
      <c r="A60" s="42">
        <v>61</v>
      </c>
      <c r="C60" s="228" t="s">
        <v>23</v>
      </c>
      <c r="D60" s="240"/>
      <c r="E60" s="241"/>
      <c r="F60" s="242"/>
      <c r="G60" s="242"/>
      <c r="H60" s="242"/>
      <c r="I60" s="242"/>
      <c r="J60" s="242"/>
      <c r="K60" s="242"/>
      <c r="L60" s="242"/>
      <c r="M60" s="242"/>
      <c r="N60" s="242"/>
      <c r="O60" s="228"/>
      <c r="P60" s="253">
        <v>200</v>
      </c>
      <c r="Q60" s="253">
        <v>200</v>
      </c>
      <c r="R60" s="226">
        <f t="shared" ref="R60:R66" si="17">+P60-Q60</f>
        <v>0</v>
      </c>
      <c r="S60" s="227">
        <f t="shared" ref="S60:S67" si="18">IF(Q60=0,"NA",(+P60-Q60)/Q60)</f>
        <v>0</v>
      </c>
      <c r="T60" s="228"/>
      <c r="U60" s="225">
        <v>450</v>
      </c>
      <c r="V60" s="225">
        <v>200</v>
      </c>
      <c r="W60" s="227">
        <f t="shared" ref="W60:W67" si="19">IF(V60=0,"NA",(+U60-V60)/V60)</f>
        <v>1.25</v>
      </c>
      <c r="X60" s="229" t="s">
        <v>498</v>
      </c>
      <c r="Y60" s="58"/>
      <c r="AD60" s="1">
        <f>+$P60</f>
        <v>200</v>
      </c>
      <c r="AH60" s="1">
        <f>+$U60</f>
        <v>450</v>
      </c>
    </row>
    <row r="61" spans="1:36" x14ac:dyDescent="0.35">
      <c r="C61" s="238" t="s">
        <v>24</v>
      </c>
      <c r="D61" s="246"/>
      <c r="E61" s="247"/>
      <c r="F61" s="248"/>
      <c r="G61" s="248"/>
      <c r="H61" s="248"/>
      <c r="I61" s="248"/>
      <c r="J61" s="248"/>
      <c r="K61" s="248"/>
      <c r="L61" s="248"/>
      <c r="M61" s="248"/>
      <c r="N61" s="248"/>
      <c r="O61" s="238"/>
      <c r="P61" s="252">
        <v>300</v>
      </c>
      <c r="Q61" s="252">
        <v>500</v>
      </c>
      <c r="R61" s="236">
        <f>+P61-Q61</f>
        <v>-200</v>
      </c>
      <c r="S61" s="237">
        <f>IF(Q61=0,"NA",(+P61-Q61)/Q61)</f>
        <v>-0.4</v>
      </c>
      <c r="T61" s="238"/>
      <c r="U61" s="235">
        <v>338.56</v>
      </c>
      <c r="V61" s="235">
        <v>500</v>
      </c>
      <c r="W61" s="237">
        <f>IF(V61=0,"NA",(+U61-V61)/V61)</f>
        <v>-0.32288</v>
      </c>
      <c r="X61" s="790" t="s">
        <v>497</v>
      </c>
      <c r="Y61" s="58"/>
    </row>
    <row r="62" spans="1:36" ht="15.5" x14ac:dyDescent="0.35">
      <c r="A62" s="42">
        <v>62</v>
      </c>
      <c r="D62" s="1"/>
      <c r="E62" s="1"/>
      <c r="F62" s="1"/>
      <c r="G62" s="1"/>
      <c r="H62" s="1"/>
      <c r="I62" s="1"/>
      <c r="J62" s="1"/>
      <c r="K62" s="1"/>
      <c r="L62" s="1"/>
      <c r="M62" s="1"/>
      <c r="N62" s="1"/>
      <c r="W62" s="1"/>
      <c r="X62" s="229" t="s">
        <v>472</v>
      </c>
      <c r="Y62" s="62" t="s">
        <v>113</v>
      </c>
      <c r="AD62" s="1">
        <f>+$P61</f>
        <v>300</v>
      </c>
      <c r="AH62" s="1">
        <f>+$U61</f>
        <v>338.56</v>
      </c>
    </row>
    <row r="63" spans="1:36" x14ac:dyDescent="0.35">
      <c r="A63" s="42">
        <v>63</v>
      </c>
      <c r="C63" s="238" t="s">
        <v>25</v>
      </c>
      <c r="D63" s="246"/>
      <c r="E63" s="247"/>
      <c r="F63" s="248"/>
      <c r="G63" s="248"/>
      <c r="H63" s="248"/>
      <c r="I63" s="248"/>
      <c r="J63" s="248"/>
      <c r="K63" s="248"/>
      <c r="L63" s="248"/>
      <c r="M63" s="248"/>
      <c r="N63" s="248"/>
      <c r="O63" s="238"/>
      <c r="P63" s="252">
        <v>1000</v>
      </c>
      <c r="Q63" s="252">
        <v>1000</v>
      </c>
      <c r="R63" s="236">
        <f t="shared" si="17"/>
        <v>0</v>
      </c>
      <c r="S63" s="237">
        <f t="shared" si="18"/>
        <v>0</v>
      </c>
      <c r="T63" s="238"/>
      <c r="U63" s="235">
        <v>654</v>
      </c>
      <c r="V63" s="235">
        <v>1000</v>
      </c>
      <c r="W63" s="237">
        <f t="shared" si="19"/>
        <v>-0.34599999999999997</v>
      </c>
      <c r="X63" s="239" t="s">
        <v>576</v>
      </c>
      <c r="Y63" s="63"/>
      <c r="AF63" s="1">
        <f>+$P63</f>
        <v>1000</v>
      </c>
      <c r="AI63" s="1">
        <f t="shared" ref="AH63:AI66" si="20">+$U63</f>
        <v>654</v>
      </c>
    </row>
    <row r="64" spans="1:36" x14ac:dyDescent="0.35">
      <c r="A64" s="42">
        <v>64</v>
      </c>
      <c r="C64" s="233" t="s">
        <v>26</v>
      </c>
      <c r="D64" s="243"/>
      <c r="E64" s="244"/>
      <c r="F64" s="245"/>
      <c r="G64" s="245"/>
      <c r="H64" s="245"/>
      <c r="I64" s="245"/>
      <c r="J64" s="245"/>
      <c r="K64" s="245"/>
      <c r="L64" s="245"/>
      <c r="M64" s="245"/>
      <c r="N64" s="245"/>
      <c r="O64" s="233"/>
      <c r="P64" s="251">
        <v>2000</v>
      </c>
      <c r="Q64" s="251">
        <v>3000</v>
      </c>
      <c r="R64" s="231">
        <f t="shared" si="17"/>
        <v>-1000</v>
      </c>
      <c r="S64" s="232">
        <f t="shared" si="18"/>
        <v>-0.33333333333333331</v>
      </c>
      <c r="T64" s="233"/>
      <c r="U64" s="230">
        <v>322.07</v>
      </c>
      <c r="V64" s="230">
        <v>3000</v>
      </c>
      <c r="W64" s="232">
        <f t="shared" si="19"/>
        <v>-0.89264333333333323</v>
      </c>
      <c r="X64" s="638" t="s">
        <v>577</v>
      </c>
      <c r="Y64" s="61"/>
      <c r="AF64" s="1">
        <f>+$P64</f>
        <v>2000</v>
      </c>
      <c r="AI64" s="1">
        <f t="shared" si="20"/>
        <v>322.07</v>
      </c>
    </row>
    <row r="65" spans="1:34" x14ac:dyDescent="0.35">
      <c r="C65" s="233" t="s">
        <v>290</v>
      </c>
      <c r="D65" s="243"/>
      <c r="E65" s="244"/>
      <c r="F65" s="245"/>
      <c r="G65" s="245"/>
      <c r="H65" s="245"/>
      <c r="I65" s="245"/>
      <c r="J65" s="245"/>
      <c r="K65" s="245"/>
      <c r="L65" s="245"/>
      <c r="M65" s="245"/>
      <c r="N65" s="245"/>
      <c r="O65" s="233"/>
      <c r="P65" s="251">
        <v>200</v>
      </c>
      <c r="Q65" s="251">
        <v>200</v>
      </c>
      <c r="R65" s="231">
        <f>+P65-Q65</f>
        <v>0</v>
      </c>
      <c r="S65" s="232">
        <f>IF(Q65=0,"NA",(+P65-Q65)/Q65)</f>
        <v>0</v>
      </c>
      <c r="T65" s="233"/>
      <c r="U65" s="230">
        <v>0</v>
      </c>
      <c r="V65" s="230">
        <v>200</v>
      </c>
      <c r="W65" s="232">
        <f>IF(V65=0,"NA",(+U65-V65)/V65)</f>
        <v>-1</v>
      </c>
      <c r="X65" s="234"/>
      <c r="Y65" s="61"/>
      <c r="AD65" s="1">
        <f>+$P65</f>
        <v>200</v>
      </c>
      <c r="AH65" s="1">
        <f t="shared" si="20"/>
        <v>0</v>
      </c>
    </row>
    <row r="66" spans="1:34" ht="43.5" x14ac:dyDescent="0.35">
      <c r="A66" s="42">
        <v>65</v>
      </c>
      <c r="C66" s="238" t="s">
        <v>112</v>
      </c>
      <c r="D66" s="246"/>
      <c r="E66" s="247"/>
      <c r="F66" s="248"/>
      <c r="G66" s="248"/>
      <c r="H66" s="248"/>
      <c r="I66" s="248"/>
      <c r="J66" s="248"/>
      <c r="K66" s="248"/>
      <c r="L66" s="248"/>
      <c r="M66" s="248"/>
      <c r="N66" s="248"/>
      <c r="O66" s="238"/>
      <c r="P66" s="252">
        <f>1575-91</f>
        <v>1484</v>
      </c>
      <c r="Q66" s="252">
        <v>1575</v>
      </c>
      <c r="R66" s="236">
        <f t="shared" si="17"/>
        <v>-91</v>
      </c>
      <c r="S66" s="237">
        <f t="shared" si="18"/>
        <v>-5.7777777777777775E-2</v>
      </c>
      <c r="T66" s="238"/>
      <c r="U66" s="252">
        <v>1146.25</v>
      </c>
      <c r="V66" s="252">
        <v>1575</v>
      </c>
      <c r="W66" s="237">
        <f t="shared" si="19"/>
        <v>-0.2722222222222222</v>
      </c>
      <c r="X66" s="400" t="s">
        <v>602</v>
      </c>
      <c r="Y66" s="57" t="s">
        <v>113</v>
      </c>
      <c r="AD66" s="1">
        <f>+$P66</f>
        <v>1484</v>
      </c>
      <c r="AH66" s="1">
        <f t="shared" si="20"/>
        <v>1146.25</v>
      </c>
    </row>
    <row r="67" spans="1:34" s="2" customFormat="1" x14ac:dyDescent="0.35">
      <c r="A67" s="42">
        <v>66</v>
      </c>
      <c r="B67" s="19" t="s">
        <v>27</v>
      </c>
      <c r="C67" s="19"/>
      <c r="D67" s="36"/>
      <c r="E67" s="82"/>
      <c r="F67" s="82"/>
      <c r="G67" s="82"/>
      <c r="H67" s="82"/>
      <c r="I67" s="82"/>
      <c r="J67" s="82"/>
      <c r="K67" s="82"/>
      <c r="L67" s="82"/>
      <c r="M67" s="82"/>
      <c r="N67" s="82"/>
      <c r="O67" s="36"/>
      <c r="P67" s="19">
        <f>SUM(P60:P66)</f>
        <v>5184</v>
      </c>
      <c r="Q67" s="36">
        <f>SUM(Q60:Q66)</f>
        <v>6475</v>
      </c>
      <c r="R67" s="36">
        <f>SUM(R60:R66)</f>
        <v>-1291</v>
      </c>
      <c r="S67" s="20">
        <f t="shared" si="18"/>
        <v>-0.1993822393822394</v>
      </c>
      <c r="U67" s="36">
        <f>SUM(U60:U66)</f>
        <v>2910.88</v>
      </c>
      <c r="V67" s="36">
        <f>SUM(V60:V66)</f>
        <v>6475</v>
      </c>
      <c r="W67" s="20">
        <f t="shared" si="19"/>
        <v>-0.55044324324324323</v>
      </c>
      <c r="X67" s="71"/>
      <c r="Y67" s="60"/>
    </row>
    <row r="68" spans="1:34" ht="19.5" customHeight="1" x14ac:dyDescent="0.35">
      <c r="A68" s="42">
        <v>68</v>
      </c>
      <c r="B68" s="881" t="s">
        <v>28</v>
      </c>
      <c r="S68" s="4"/>
      <c r="X68" s="70"/>
      <c r="Y68" s="58"/>
      <c r="AD68" s="553">
        <v>0.33300000000000002</v>
      </c>
      <c r="AE68" s="553">
        <v>0.33300000000000002</v>
      </c>
      <c r="AF68" s="553">
        <v>0.33400000000000002</v>
      </c>
    </row>
    <row r="69" spans="1:34" ht="17" customHeight="1" x14ac:dyDescent="0.35">
      <c r="A69" s="42">
        <v>69</v>
      </c>
      <c r="C69" s="228" t="s">
        <v>29</v>
      </c>
      <c r="D69" s="240"/>
      <c r="E69" s="241"/>
      <c r="F69" s="242"/>
      <c r="G69" s="242"/>
      <c r="H69" s="242"/>
      <c r="I69" s="242"/>
      <c r="J69" s="242"/>
      <c r="K69" s="242"/>
      <c r="L69" s="242"/>
      <c r="M69" s="242"/>
      <c r="N69" s="242"/>
      <c r="O69" s="228"/>
      <c r="P69" s="253">
        <v>2500</v>
      </c>
      <c r="Q69" s="253">
        <v>3500</v>
      </c>
      <c r="R69" s="226">
        <f t="shared" ref="R69:R74" si="21">+P69-Q69</f>
        <v>-1000</v>
      </c>
      <c r="S69" s="227">
        <f t="shared" ref="S69:S78" si="22">IF(Q69=0,"NA",(+P69-Q69)/Q69)</f>
        <v>-0.2857142857142857</v>
      </c>
      <c r="T69" s="228"/>
      <c r="U69" s="225">
        <v>2199.56</v>
      </c>
      <c r="V69" s="225">
        <v>3500</v>
      </c>
      <c r="W69" s="227">
        <f t="shared" ref="W69:W78" si="23">IF(V69=0,"NA",(+U69-V69)/V69)</f>
        <v>-0.37155428571428573</v>
      </c>
      <c r="X69" s="799" t="s">
        <v>505</v>
      </c>
      <c r="Y69" s="61" t="s">
        <v>302</v>
      </c>
      <c r="AD69" s="1">
        <f>+$P69*AD$68</f>
        <v>832.5</v>
      </c>
      <c r="AE69" s="1">
        <f t="shared" ref="AE69:AF74" si="24">+$P69*AE$68</f>
        <v>832.5</v>
      </c>
      <c r="AF69" s="1">
        <f t="shared" si="24"/>
        <v>835</v>
      </c>
      <c r="AH69" s="1">
        <f t="shared" ref="AH69:AH74" si="25">+$U69</f>
        <v>2199.56</v>
      </c>
    </row>
    <row r="70" spans="1:34" x14ac:dyDescent="0.35">
      <c r="A70" s="42">
        <v>70</v>
      </c>
      <c r="C70" s="233" t="s">
        <v>30</v>
      </c>
      <c r="D70" s="243"/>
      <c r="E70" s="244"/>
      <c r="F70" s="245"/>
      <c r="G70" s="245"/>
      <c r="H70" s="245"/>
      <c r="I70" s="245"/>
      <c r="J70" s="245"/>
      <c r="K70" s="245"/>
      <c r="L70" s="245"/>
      <c r="M70" s="245"/>
      <c r="N70" s="245"/>
      <c r="O70" s="233"/>
      <c r="P70" s="230">
        <v>2300</v>
      </c>
      <c r="Q70" s="230">
        <v>2250</v>
      </c>
      <c r="R70" s="231">
        <f t="shared" si="21"/>
        <v>50</v>
      </c>
      <c r="S70" s="232">
        <f t="shared" si="22"/>
        <v>2.2222222222222223E-2</v>
      </c>
      <c r="T70" s="233"/>
      <c r="U70" s="230">
        <v>2403.44</v>
      </c>
      <c r="V70" s="230">
        <v>2250</v>
      </c>
      <c r="W70" s="232">
        <f t="shared" si="23"/>
        <v>6.8195555555555579E-2</v>
      </c>
      <c r="X70" s="799" t="s">
        <v>505</v>
      </c>
      <c r="Y70" s="61" t="s">
        <v>113</v>
      </c>
      <c r="AD70" s="1">
        <f>+$P70*AD$68</f>
        <v>765.90000000000009</v>
      </c>
      <c r="AE70" s="1">
        <f t="shared" si="24"/>
        <v>765.90000000000009</v>
      </c>
      <c r="AF70" s="1">
        <f t="shared" si="24"/>
        <v>768.2</v>
      </c>
      <c r="AH70" s="1">
        <f t="shared" si="25"/>
        <v>2403.44</v>
      </c>
    </row>
    <row r="71" spans="1:34" ht="16.5" customHeight="1" x14ac:dyDescent="0.35">
      <c r="A71" s="42">
        <v>73</v>
      </c>
      <c r="C71" s="238" t="s">
        <v>31</v>
      </c>
      <c r="D71" s="246"/>
      <c r="E71" s="247"/>
      <c r="F71" s="248"/>
      <c r="G71" s="248"/>
      <c r="H71" s="248"/>
      <c r="I71" s="248"/>
      <c r="J71" s="248"/>
      <c r="K71" s="248"/>
      <c r="L71" s="248"/>
      <c r="M71" s="248"/>
      <c r="N71" s="248"/>
      <c r="O71" s="238"/>
      <c r="P71" s="252">
        <v>11000</v>
      </c>
      <c r="Q71" s="252">
        <v>13000</v>
      </c>
      <c r="R71" s="236">
        <f t="shared" si="21"/>
        <v>-2000</v>
      </c>
      <c r="S71" s="237">
        <f t="shared" si="22"/>
        <v>-0.15384615384615385</v>
      </c>
      <c r="T71" s="238"/>
      <c r="U71" s="252">
        <v>11367.2</v>
      </c>
      <c r="V71" s="235">
        <v>13000</v>
      </c>
      <c r="W71" s="237">
        <f t="shared" si="23"/>
        <v>-0.12559999999999993</v>
      </c>
      <c r="X71" s="637" t="s">
        <v>505</v>
      </c>
      <c r="Y71" s="61" t="s">
        <v>133</v>
      </c>
      <c r="AD71" s="1">
        <f t="shared" ref="AD71:AD74" si="26">+$P71*AD$68</f>
        <v>3663</v>
      </c>
      <c r="AE71" s="1">
        <f t="shared" si="24"/>
        <v>3663</v>
      </c>
      <c r="AF71" s="1">
        <f t="shared" si="24"/>
        <v>3674</v>
      </c>
      <c r="AH71" s="1">
        <f t="shared" si="25"/>
        <v>11367.2</v>
      </c>
    </row>
    <row r="72" spans="1:34" ht="29" x14ac:dyDescent="0.35">
      <c r="C72" s="228"/>
      <c r="D72" s="240"/>
      <c r="E72" s="241"/>
      <c r="F72" s="242"/>
      <c r="G72" s="242"/>
      <c r="H72" s="242"/>
      <c r="I72" s="242"/>
      <c r="J72" s="242"/>
      <c r="K72" s="242"/>
      <c r="L72" s="242"/>
      <c r="M72" s="242"/>
      <c r="N72" s="242"/>
      <c r="O72" s="228"/>
      <c r="P72" s="253"/>
      <c r="Q72" s="253"/>
      <c r="R72" s="226"/>
      <c r="S72" s="227"/>
      <c r="T72" s="228"/>
      <c r="U72" s="253"/>
      <c r="V72" s="225"/>
      <c r="W72" s="227"/>
      <c r="X72" s="229" t="s">
        <v>514</v>
      </c>
      <c r="Y72" s="61"/>
      <c r="Z72" s="2"/>
    </row>
    <row r="73" spans="1:34" ht="29" x14ac:dyDescent="0.35">
      <c r="A73" s="42">
        <v>74</v>
      </c>
      <c r="C73" s="233" t="s">
        <v>32</v>
      </c>
      <c r="D73" s="243"/>
      <c r="E73" s="244"/>
      <c r="F73" s="245"/>
      <c r="G73" s="245"/>
      <c r="H73" s="245"/>
      <c r="I73" s="245"/>
      <c r="J73" s="245"/>
      <c r="K73" s="245"/>
      <c r="L73" s="245"/>
      <c r="M73" s="245"/>
      <c r="N73" s="245"/>
      <c r="O73" s="233"/>
      <c r="P73" s="251">
        <v>800</v>
      </c>
      <c r="Q73" s="251">
        <v>1200</v>
      </c>
      <c r="R73" s="231">
        <f t="shared" si="21"/>
        <v>-400</v>
      </c>
      <c r="S73" s="232">
        <f t="shared" si="22"/>
        <v>-0.33333333333333331</v>
      </c>
      <c r="T73" s="233"/>
      <c r="U73" s="230">
        <v>0</v>
      </c>
      <c r="V73" s="230">
        <v>1200</v>
      </c>
      <c r="W73" s="232">
        <f t="shared" si="23"/>
        <v>-1</v>
      </c>
      <c r="X73" s="638" t="s">
        <v>506</v>
      </c>
      <c r="Y73" s="58"/>
      <c r="AD73" s="1">
        <f t="shared" si="26"/>
        <v>266.40000000000003</v>
      </c>
      <c r="AE73" s="1">
        <f t="shared" si="24"/>
        <v>266.40000000000003</v>
      </c>
      <c r="AF73" s="1">
        <f t="shared" si="24"/>
        <v>267.2</v>
      </c>
      <c r="AH73" s="1">
        <f t="shared" si="25"/>
        <v>0</v>
      </c>
    </row>
    <row r="74" spans="1:34" ht="44" customHeight="1" thickBot="1" x14ac:dyDescent="0.4">
      <c r="A74" s="42">
        <v>75</v>
      </c>
      <c r="C74" s="238" t="s">
        <v>33</v>
      </c>
      <c r="D74" s="246"/>
      <c r="E74" s="953" t="s">
        <v>155</v>
      </c>
      <c r="F74" s="954"/>
      <c r="G74" s="954"/>
      <c r="H74" s="954"/>
      <c r="I74" s="954"/>
      <c r="J74" s="954"/>
      <c r="K74" s="954"/>
      <c r="L74" s="954"/>
      <c r="M74" s="955"/>
      <c r="N74" s="390"/>
      <c r="O74" s="238"/>
      <c r="P74" s="252">
        <v>1700</v>
      </c>
      <c r="Q74" s="252">
        <v>1700</v>
      </c>
      <c r="R74" s="236">
        <f t="shared" si="21"/>
        <v>0</v>
      </c>
      <c r="S74" s="237">
        <f t="shared" si="22"/>
        <v>0</v>
      </c>
      <c r="T74" s="238"/>
      <c r="U74" s="235">
        <v>1709.1</v>
      </c>
      <c r="V74" s="235">
        <v>1700</v>
      </c>
      <c r="W74" s="237">
        <f t="shared" si="23"/>
        <v>5.3529411764705343E-3</v>
      </c>
      <c r="X74" s="239" t="s">
        <v>578</v>
      </c>
      <c r="Y74" s="61" t="s">
        <v>126</v>
      </c>
      <c r="AD74" s="1">
        <f t="shared" si="26"/>
        <v>566.1</v>
      </c>
      <c r="AE74" s="1">
        <f t="shared" si="24"/>
        <v>566.1</v>
      </c>
      <c r="AF74" s="1">
        <f t="shared" si="24"/>
        <v>567.80000000000007</v>
      </c>
      <c r="AH74" s="1">
        <f t="shared" si="25"/>
        <v>1709.1</v>
      </c>
    </row>
    <row r="75" spans="1:34" ht="29" x14ac:dyDescent="0.35">
      <c r="C75" s="238" t="s">
        <v>274</v>
      </c>
      <c r="D75" s="246"/>
      <c r="E75" s="247"/>
      <c r="F75" s="248"/>
      <c r="G75" s="248"/>
      <c r="H75" s="248"/>
      <c r="I75" s="248"/>
      <c r="J75" s="248"/>
      <c r="K75" s="248"/>
      <c r="L75" s="248"/>
      <c r="M75" s="248"/>
      <c r="N75" s="248"/>
      <c r="O75" s="238"/>
      <c r="P75" s="252">
        <f>1500-500</f>
        <v>1000</v>
      </c>
      <c r="Q75" s="252">
        <v>2500</v>
      </c>
      <c r="R75" s="236">
        <f>+P75-Q75</f>
        <v>-1500</v>
      </c>
      <c r="S75" s="237">
        <f>IF(Q75=0,"NA",(+P75-Q75)/Q75)</f>
        <v>-0.6</v>
      </c>
      <c r="T75" s="238"/>
      <c r="U75" s="235">
        <v>500</v>
      </c>
      <c r="V75" s="235">
        <v>2500</v>
      </c>
      <c r="W75" s="237">
        <f>IF(V75=0,"NA",(+U75-V75)/V75)</f>
        <v>-0.8</v>
      </c>
      <c r="X75" s="637" t="s">
        <v>600</v>
      </c>
      <c r="Y75" s="61"/>
    </row>
    <row r="76" spans="1:34" ht="14.5" customHeight="1" thickBot="1" x14ac:dyDescent="0.4">
      <c r="A76" s="42">
        <v>73</v>
      </c>
      <c r="D76" s="1"/>
      <c r="E76" s="1"/>
      <c r="F76" s="1"/>
      <c r="G76" s="1"/>
      <c r="H76" s="1"/>
      <c r="I76" s="1"/>
      <c r="J76" s="1"/>
      <c r="K76" s="1"/>
      <c r="L76" s="1"/>
      <c r="M76" s="1"/>
      <c r="N76" s="1"/>
      <c r="W76" s="1"/>
      <c r="X76" s="797" t="s">
        <v>579</v>
      </c>
      <c r="Y76" s="61" t="s">
        <v>133</v>
      </c>
      <c r="AD76" s="1">
        <f>+$P75*AD$68</f>
        <v>333</v>
      </c>
      <c r="AE76" s="1">
        <f>+$P75*AE$68</f>
        <v>333</v>
      </c>
      <c r="AF76" s="1">
        <f>+$P75*AF$68</f>
        <v>334</v>
      </c>
      <c r="AH76" s="1">
        <f>+$U75</f>
        <v>500</v>
      </c>
    </row>
    <row r="77" spans="1:34" s="2" customFormat="1" x14ac:dyDescent="0.35">
      <c r="A77" s="42">
        <v>76</v>
      </c>
      <c r="B77" s="19" t="s">
        <v>35</v>
      </c>
      <c r="C77" s="19"/>
      <c r="D77" s="36"/>
      <c r="E77" s="952">
        <f>Bud_Yr</f>
        <v>2022</v>
      </c>
      <c r="F77" s="932"/>
      <c r="G77" s="932"/>
      <c r="H77" s="932"/>
      <c r="I77" s="932">
        <f>Bud_Yr-1</f>
        <v>2021</v>
      </c>
      <c r="J77" s="932"/>
      <c r="K77" s="932"/>
      <c r="L77" s="932"/>
      <c r="M77" s="91">
        <f>Bud_Yr-2</f>
        <v>2020</v>
      </c>
      <c r="N77" s="391"/>
      <c r="O77" s="36"/>
      <c r="P77" s="19">
        <f>SUM(P69:P75)</f>
        <v>19300</v>
      </c>
      <c r="Q77" s="36">
        <f>SUM(Q69:Q75)</f>
        <v>24150</v>
      </c>
      <c r="R77" s="36">
        <f>SUM(R69:R75)</f>
        <v>-4850</v>
      </c>
      <c r="S77" s="20">
        <f t="shared" si="22"/>
        <v>-0.20082815734989648</v>
      </c>
      <c r="U77" s="36">
        <f>SUM(U69:U75)</f>
        <v>18179.3</v>
      </c>
      <c r="V77" s="36">
        <f>SUM(V69:V75)</f>
        <v>24150</v>
      </c>
      <c r="W77" s="20">
        <f t="shared" si="23"/>
        <v>-0.24723395445134577</v>
      </c>
      <c r="X77" s="95"/>
      <c r="Y77" s="60"/>
      <c r="Z77" s="1"/>
    </row>
    <row r="78" spans="1:34" ht="15" thickBot="1" x14ac:dyDescent="0.4">
      <c r="A78" s="42">
        <v>77</v>
      </c>
      <c r="B78" s="19" t="s">
        <v>85</v>
      </c>
      <c r="C78" s="22"/>
      <c r="D78" s="22"/>
      <c r="E78" s="92" t="s">
        <v>153</v>
      </c>
      <c r="F78" s="93" t="s">
        <v>154</v>
      </c>
      <c r="G78" s="93" t="s">
        <v>157</v>
      </c>
      <c r="H78" s="93" t="s">
        <v>152</v>
      </c>
      <c r="I78" s="93" t="s">
        <v>153</v>
      </c>
      <c r="J78" s="93" t="s">
        <v>154</v>
      </c>
      <c r="K78" s="93" t="s">
        <v>157</v>
      </c>
      <c r="L78" s="93" t="s">
        <v>152</v>
      </c>
      <c r="M78" s="94" t="s">
        <v>154</v>
      </c>
      <c r="N78" s="392"/>
      <c r="O78" s="22"/>
      <c r="P78" s="19">
        <f>+P44+P49+P51+P58+P67+P77+P56</f>
        <v>41084</v>
      </c>
      <c r="Q78" s="36">
        <f>+Q44+Q49+Q51+Q58+Q67+Q77+Q56</f>
        <v>52825</v>
      </c>
      <c r="R78" s="36">
        <f>+R44+R49+R51+R58+R67+R77+R56</f>
        <v>-11741</v>
      </c>
      <c r="S78" s="20">
        <f t="shared" si="22"/>
        <v>-0.22226218646474208</v>
      </c>
      <c r="U78" s="36">
        <f>+U44+U49+U51+U58+U67+U77+U56</f>
        <v>28015.22</v>
      </c>
      <c r="V78" s="36">
        <f>+V44+V49+V51+V58+V67+V77+V56</f>
        <v>52825</v>
      </c>
      <c r="W78" s="20">
        <f t="shared" si="23"/>
        <v>-0.46965982016090863</v>
      </c>
      <c r="X78" s="70"/>
      <c r="Y78" s="58"/>
    </row>
    <row r="79" spans="1:34" ht="23" customHeight="1" x14ac:dyDescent="0.35">
      <c r="A79" s="42">
        <v>79</v>
      </c>
      <c r="B79" s="6" t="s">
        <v>34</v>
      </c>
      <c r="F79" s="84">
        <v>0</v>
      </c>
      <c r="G79" s="931" t="s">
        <v>98</v>
      </c>
      <c r="H79" s="931"/>
      <c r="K79" s="75" t="s">
        <v>170</v>
      </c>
      <c r="L79" s="84">
        <v>0.01</v>
      </c>
      <c r="O79" s="940" t="s">
        <v>94</v>
      </c>
      <c r="S79" s="4"/>
      <c r="X79" s="70"/>
      <c r="Y79" s="58"/>
    </row>
    <row r="80" spans="1:34" ht="19.5" customHeight="1" x14ac:dyDescent="0.35">
      <c r="A80" s="42">
        <v>80</v>
      </c>
      <c r="B80" s="881" t="s">
        <v>147</v>
      </c>
      <c r="D80" s="866" t="s">
        <v>214</v>
      </c>
      <c r="F80" s="84">
        <v>0</v>
      </c>
      <c r="G80" s="931" t="s">
        <v>99</v>
      </c>
      <c r="H80" s="931"/>
      <c r="K80" s="75"/>
      <c r="O80" s="940"/>
      <c r="R80" s="120"/>
      <c r="S80" s="4"/>
      <c r="U80" s="121"/>
      <c r="V80" s="34"/>
      <c r="X80" s="798" t="s">
        <v>583</v>
      </c>
      <c r="Y80" s="57"/>
    </row>
    <row r="81" spans="1:37" ht="15" customHeight="1" x14ac:dyDescent="0.35">
      <c r="C81" s="393" t="s">
        <v>171</v>
      </c>
      <c r="D81" s="394"/>
      <c r="E81" s="395"/>
      <c r="F81" s="854"/>
      <c r="G81" s="855" t="s">
        <v>263</v>
      </c>
      <c r="H81" s="124"/>
      <c r="I81" s="125"/>
      <c r="J81" s="395"/>
      <c r="K81" s="125"/>
      <c r="L81" s="856"/>
      <c r="M81" s="128"/>
      <c r="N81" s="128"/>
      <c r="O81" s="394"/>
      <c r="P81" s="804">
        <f>+Pastor!Q16</f>
        <v>78499</v>
      </c>
      <c r="Q81" s="804">
        <f>+Pastor!K16</f>
        <v>74510</v>
      </c>
      <c r="R81" s="398">
        <f>+P81-Q81</f>
        <v>3989</v>
      </c>
      <c r="S81" s="399">
        <f>IF(Q81=0,"NA",(+P81-Q81)/Q81)</f>
        <v>5.3536438062005101E-2</v>
      </c>
      <c r="T81" s="393"/>
      <c r="U81" s="397">
        <f>52510+22000</f>
        <v>74510</v>
      </c>
      <c r="V81" s="397">
        <f>52510+22000</f>
        <v>74510</v>
      </c>
      <c r="W81" s="399">
        <f>IF(V81=0,"NA",(+U81-V81)/V81)</f>
        <v>0</v>
      </c>
      <c r="X81" s="935" t="s">
        <v>584</v>
      </c>
      <c r="Y81" s="57"/>
    </row>
    <row r="82" spans="1:37" ht="14.5" customHeight="1" x14ac:dyDescent="0.35">
      <c r="A82" s="42">
        <v>81</v>
      </c>
      <c r="D82" s="1"/>
      <c r="E82" s="1"/>
      <c r="F82" s="1"/>
      <c r="G82" s="1"/>
      <c r="H82" s="1"/>
      <c r="I82" s="1"/>
      <c r="J82" s="1"/>
      <c r="K82" s="1"/>
      <c r="L82" s="1"/>
      <c r="M82" s="1"/>
      <c r="N82" s="1"/>
      <c r="W82" s="1"/>
      <c r="X82" s="936"/>
      <c r="Y82" s="61" t="s">
        <v>127</v>
      </c>
    </row>
    <row r="83" spans="1:37" x14ac:dyDescent="0.35">
      <c r="A83" s="42">
        <v>82</v>
      </c>
      <c r="C83" s="233" t="s">
        <v>36</v>
      </c>
      <c r="D83" s="243"/>
      <c r="E83" s="244"/>
      <c r="F83" s="260" t="s">
        <v>264</v>
      </c>
      <c r="G83" s="261">
        <f>+(Pastor!I11+P123+P126+P133)-(Pastor!G11+Q123+Q126+Q133)</f>
        <v>-4848</v>
      </c>
      <c r="H83" s="262" t="s">
        <v>301</v>
      </c>
      <c r="I83" s="263"/>
      <c r="J83" s="244"/>
      <c r="K83" s="264"/>
      <c r="L83" s="244"/>
      <c r="M83" s="265"/>
      <c r="N83" s="265"/>
      <c r="O83" s="266"/>
      <c r="P83" s="267">
        <f>+Pastor!Q54</f>
        <v>1500</v>
      </c>
      <c r="Q83" s="267">
        <f>+Pastor!K54</f>
        <v>1500</v>
      </c>
      <c r="R83" s="231">
        <f t="shared" ref="R83:R91" si="27">+P83-Q83</f>
        <v>0</v>
      </c>
      <c r="S83" s="232">
        <f t="shared" ref="S83:S92" si="28">IF(Q83=0,"NA",(+P83-Q83)/Q83)</f>
        <v>0</v>
      </c>
      <c r="T83" s="233"/>
      <c r="U83" s="230">
        <v>0</v>
      </c>
      <c r="V83" s="230">
        <v>1500</v>
      </c>
      <c r="W83" s="232">
        <f t="shared" ref="W83:W92" si="29">IF(V83=0,"NA",(+U83-V83)/V83)</f>
        <v>-1</v>
      </c>
      <c r="X83" s="234" t="s">
        <v>163</v>
      </c>
      <c r="Y83" s="61"/>
    </row>
    <row r="84" spans="1:37" ht="14.5" customHeight="1" x14ac:dyDescent="0.35">
      <c r="C84" s="233" t="s">
        <v>297</v>
      </c>
      <c r="D84" s="243"/>
      <c r="E84" s="244"/>
      <c r="F84" s="260" t="s">
        <v>265</v>
      </c>
      <c r="G84" s="261">
        <f>(+P109+P117+P119+P120)-(Q109+Q117+Q119+Q120)</f>
        <v>-5724</v>
      </c>
      <c r="H84" s="244"/>
      <c r="I84" s="244"/>
      <c r="J84" s="262"/>
      <c r="K84" s="244"/>
      <c r="L84" s="244"/>
      <c r="M84" s="244"/>
      <c r="N84" s="244"/>
      <c r="O84" s="266"/>
      <c r="P84" s="267">
        <f>+Pastor!Q18</f>
        <v>6005</v>
      </c>
      <c r="Q84" s="274">
        <f>+Pastor!K18</f>
        <v>5700</v>
      </c>
      <c r="R84" s="231">
        <f t="shared" si="27"/>
        <v>305</v>
      </c>
      <c r="S84" s="232">
        <f>IF(Q84=0,"NA",(+P84-Q84)/Q84)</f>
        <v>5.3508771929824561E-2</v>
      </c>
      <c r="T84" s="233"/>
      <c r="U84" s="230">
        <v>5700</v>
      </c>
      <c r="V84" s="230">
        <v>5700</v>
      </c>
      <c r="W84" s="232">
        <f>IF(V84=0,"NA",(+U84-V84)/V84)</f>
        <v>0</v>
      </c>
      <c r="X84" s="234" t="s">
        <v>213</v>
      </c>
      <c r="Y84" s="61"/>
    </row>
    <row r="85" spans="1:37" ht="43.5" hidden="1" x14ac:dyDescent="0.35">
      <c r="C85" s="933" t="s">
        <v>169</v>
      </c>
      <c r="D85" s="933"/>
      <c r="E85" s="268"/>
      <c r="F85" s="269" t="s">
        <v>211</v>
      </c>
      <c r="G85" s="270">
        <f>+G83+G84</f>
        <v>-10572</v>
      </c>
      <c r="H85" s="271"/>
      <c r="I85" s="267"/>
      <c r="J85" s="272"/>
      <c r="K85" s="244"/>
      <c r="L85" s="929"/>
      <c r="M85" s="929"/>
      <c r="N85" s="929"/>
      <c r="O85" s="929"/>
      <c r="P85" s="251">
        <v>0</v>
      </c>
      <c r="Q85" s="251">
        <v>0</v>
      </c>
      <c r="R85" s="231">
        <f>+P85-Q85</f>
        <v>0</v>
      </c>
      <c r="S85" s="232" t="str">
        <f>IF(Q85=0,"NA",(+P85-Q85)/Q85)</f>
        <v>NA</v>
      </c>
      <c r="T85" s="233"/>
      <c r="U85" s="230">
        <v>0</v>
      </c>
      <c r="V85" s="230">
        <v>0</v>
      </c>
      <c r="W85" s="232" t="str">
        <f>IF(V85=0,"NA",(+U85-V85)/V85)</f>
        <v>NA</v>
      </c>
      <c r="X85" s="234" t="s">
        <v>195</v>
      </c>
      <c r="Y85" s="61"/>
      <c r="Z85" s="1">
        <v>14003</v>
      </c>
    </row>
    <row r="86" spans="1:37" ht="14" customHeight="1" x14ac:dyDescent="0.35">
      <c r="C86" s="233" t="s">
        <v>165</v>
      </c>
      <c r="D86" s="243"/>
      <c r="E86" s="244"/>
      <c r="F86" s="272"/>
      <c r="G86" s="244"/>
      <c r="H86" s="273"/>
      <c r="I86" s="244"/>
      <c r="J86" s="244"/>
      <c r="K86" s="244"/>
      <c r="L86" s="244"/>
      <c r="M86" s="244"/>
      <c r="N86" s="244"/>
      <c r="O86" s="274"/>
      <c r="P86" s="267">
        <f>+Pastor!Q40</f>
        <v>19013</v>
      </c>
      <c r="Q86" s="267">
        <f>+Pastor!K37</f>
        <v>16544</v>
      </c>
      <c r="R86" s="231">
        <f>+P86-Q86</f>
        <v>2469</v>
      </c>
      <c r="S86" s="232">
        <f>IF(Q86=0,"NA",(+P86-Q86)/Q86)</f>
        <v>0.14923839458413926</v>
      </c>
      <c r="T86" s="233"/>
      <c r="U86" s="230">
        <v>16443</v>
      </c>
      <c r="V86" s="251">
        <v>16544</v>
      </c>
      <c r="W86" s="232">
        <f>IF(V86=0,"NA",(+U86-V86)/V86)</f>
        <v>-6.1049323017408124E-3</v>
      </c>
      <c r="X86" s="234"/>
      <c r="Y86" s="65" t="s">
        <v>139</v>
      </c>
      <c r="Z86" s="2"/>
    </row>
    <row r="87" spans="1:37" ht="14.4" hidden="1" customHeight="1" x14ac:dyDescent="0.35">
      <c r="C87" s="233" t="s">
        <v>167</v>
      </c>
      <c r="D87" s="243"/>
      <c r="E87" s="244"/>
      <c r="F87" s="244"/>
      <c r="G87" s="244"/>
      <c r="H87" s="275"/>
      <c r="I87" s="244"/>
      <c r="J87" s="244"/>
      <c r="K87" s="244"/>
      <c r="L87" s="244"/>
      <c r="M87" s="244"/>
      <c r="N87" s="244"/>
      <c r="O87" s="276"/>
      <c r="P87" s="267">
        <v>0</v>
      </c>
      <c r="Q87" s="251">
        <v>0</v>
      </c>
      <c r="R87" s="231">
        <f>+P87-Q87</f>
        <v>0</v>
      </c>
      <c r="S87" s="232" t="str">
        <f>IF(Q87=0,"NA",(+P87-Q87)/Q87)</f>
        <v>NA</v>
      </c>
      <c r="T87" s="233"/>
      <c r="U87" s="230">
        <v>0</v>
      </c>
      <c r="V87" s="251">
        <v>0</v>
      </c>
      <c r="W87" s="232" t="str">
        <f>IF(V87=0,"NA",(+U87-V87)/V87)</f>
        <v>NA</v>
      </c>
      <c r="X87" s="234" t="s">
        <v>303</v>
      </c>
      <c r="Y87" s="65" t="s">
        <v>139</v>
      </c>
      <c r="Z87" s="1">
        <v>2342</v>
      </c>
    </row>
    <row r="88" spans="1:37" ht="14.4" customHeight="1" x14ac:dyDescent="0.35">
      <c r="A88" s="42">
        <v>83</v>
      </c>
      <c r="C88" s="233" t="s">
        <v>166</v>
      </c>
      <c r="D88" s="243"/>
      <c r="E88" s="265"/>
      <c r="F88" s="275"/>
      <c r="G88" s="265"/>
      <c r="H88" s="275"/>
      <c r="I88" s="265"/>
      <c r="J88" s="275"/>
      <c r="K88" s="278"/>
      <c r="L88" s="244"/>
      <c r="M88" s="244"/>
      <c r="N88" s="244"/>
      <c r="O88" s="274"/>
      <c r="P88" s="267">
        <f>+Pastor!Q51</f>
        <v>1859</v>
      </c>
      <c r="Q88" s="267">
        <f>+Pastor!K51</f>
        <v>1765</v>
      </c>
      <c r="R88" s="231">
        <f t="shared" si="27"/>
        <v>94</v>
      </c>
      <c r="S88" s="232">
        <f t="shared" si="28"/>
        <v>5.3257790368271954E-2</v>
      </c>
      <c r="T88" s="233"/>
      <c r="U88" s="230">
        <v>1764.6</v>
      </c>
      <c r="V88" s="251">
        <v>1765</v>
      </c>
      <c r="W88" s="232">
        <f t="shared" si="29"/>
        <v>-2.2662889518418751E-4</v>
      </c>
      <c r="X88" s="277" t="s">
        <v>580</v>
      </c>
      <c r="Y88" s="65" t="s">
        <v>139</v>
      </c>
    </row>
    <row r="89" spans="1:37" x14ac:dyDescent="0.35">
      <c r="C89" s="233" t="s">
        <v>103</v>
      </c>
      <c r="D89" s="243"/>
      <c r="E89" s="244"/>
      <c r="F89" s="244"/>
      <c r="G89" s="244"/>
      <c r="H89" s="244"/>
      <c r="I89" s="244"/>
      <c r="J89" s="244"/>
      <c r="K89" s="244"/>
      <c r="L89" s="244"/>
      <c r="M89" s="244"/>
      <c r="N89" s="244"/>
      <c r="O89" s="274"/>
      <c r="P89" s="267">
        <f>+Pastor!Q57</f>
        <v>600</v>
      </c>
      <c r="Q89" s="274">
        <f>+Pastor!K57</f>
        <v>600</v>
      </c>
      <c r="R89" s="231">
        <f t="shared" si="27"/>
        <v>0</v>
      </c>
      <c r="S89" s="232">
        <f>IF(Q89=0,"NA",(+P89-Q89)/Q89)</f>
        <v>0</v>
      </c>
      <c r="T89" s="233"/>
      <c r="U89" s="230">
        <v>344.6</v>
      </c>
      <c r="V89" s="230">
        <v>600</v>
      </c>
      <c r="W89" s="232">
        <f>IF(V89=0,"NA",(+U89-V89)/V89)</f>
        <v>-0.42566666666666664</v>
      </c>
      <c r="X89" s="234" t="s">
        <v>164</v>
      </c>
      <c r="Y89" s="61"/>
    </row>
    <row r="90" spans="1:37" x14ac:dyDescent="0.35">
      <c r="C90" s="233" t="s">
        <v>206</v>
      </c>
      <c r="D90" s="243"/>
      <c r="E90" s="244"/>
      <c r="F90" s="245"/>
      <c r="G90" s="245"/>
      <c r="H90" s="245"/>
      <c r="I90" s="245"/>
      <c r="J90" s="245"/>
      <c r="K90" s="245"/>
      <c r="L90" s="245"/>
      <c r="M90" s="245"/>
      <c r="N90" s="245"/>
      <c r="O90" s="279"/>
      <c r="P90" s="267">
        <f>+Pastor!Q58</f>
        <v>480</v>
      </c>
      <c r="Q90" s="274">
        <f>+Pastor!K58</f>
        <v>480</v>
      </c>
      <c r="R90" s="231">
        <f>+P90-Q90</f>
        <v>0</v>
      </c>
      <c r="S90" s="232">
        <f>IF(Q90=0,"NA",(+P90-Q90)/Q90)</f>
        <v>0</v>
      </c>
      <c r="T90" s="233"/>
      <c r="U90" s="230">
        <v>480</v>
      </c>
      <c r="V90" s="230">
        <v>480</v>
      </c>
      <c r="W90" s="232">
        <f>IF(V90=0,"NA",(+U90-V90)/V90)</f>
        <v>0</v>
      </c>
      <c r="X90" s="234" t="s">
        <v>215</v>
      </c>
      <c r="Y90" s="61"/>
    </row>
    <row r="91" spans="1:37" x14ac:dyDescent="0.35">
      <c r="A91" s="42">
        <v>85</v>
      </c>
      <c r="C91" s="238" t="s">
        <v>37</v>
      </c>
      <c r="D91" s="246"/>
      <c r="E91" s="247"/>
      <c r="F91" s="248"/>
      <c r="G91" s="248"/>
      <c r="H91" s="248"/>
      <c r="I91" s="248"/>
      <c r="J91" s="248"/>
      <c r="K91" s="248"/>
      <c r="L91" s="248"/>
      <c r="M91" s="248"/>
      <c r="N91" s="248"/>
      <c r="O91" s="280"/>
      <c r="P91" s="281">
        <f>+Pastor!Q55</f>
        <v>1300</v>
      </c>
      <c r="Q91" s="389">
        <f>+Pastor!K55</f>
        <v>1000</v>
      </c>
      <c r="R91" s="236">
        <f t="shared" si="27"/>
        <v>300</v>
      </c>
      <c r="S91" s="237">
        <f t="shared" si="28"/>
        <v>0.3</v>
      </c>
      <c r="T91" s="238"/>
      <c r="U91" s="235">
        <v>590.48</v>
      </c>
      <c r="V91" s="235">
        <v>1000</v>
      </c>
      <c r="W91" s="237">
        <f t="shared" si="29"/>
        <v>-0.40952</v>
      </c>
      <c r="X91" s="239" t="s">
        <v>561</v>
      </c>
      <c r="Y91" s="61"/>
      <c r="AD91" s="383">
        <v>0.4</v>
      </c>
      <c r="AE91" s="383">
        <v>0.15</v>
      </c>
      <c r="AF91" s="383">
        <v>0.4</v>
      </c>
      <c r="AG91" s="383">
        <v>0.05</v>
      </c>
      <c r="AH91" s="34">
        <f>+AD91</f>
        <v>0.4</v>
      </c>
      <c r="AI91" s="34">
        <f>+AE91</f>
        <v>0.15</v>
      </c>
      <c r="AJ91" s="34">
        <f>+AF91</f>
        <v>0.4</v>
      </c>
      <c r="AK91" s="34">
        <f>+AG91</f>
        <v>0.05</v>
      </c>
    </row>
    <row r="92" spans="1:37" s="2" customFormat="1" x14ac:dyDescent="0.35">
      <c r="A92" s="42">
        <v>86</v>
      </c>
      <c r="B92" s="23" t="s">
        <v>148</v>
      </c>
      <c r="C92" s="23"/>
      <c r="D92" s="23"/>
      <c r="E92" s="85"/>
      <c r="F92" s="85"/>
      <c r="G92" s="85"/>
      <c r="H92" s="85"/>
      <c r="I92" s="85"/>
      <c r="J92" s="85"/>
      <c r="K92" s="85"/>
      <c r="L92" s="85"/>
      <c r="M92" s="85"/>
      <c r="N92" s="85"/>
      <c r="O92" s="23"/>
      <c r="P92" s="23">
        <f>SUM(P81:P91)</f>
        <v>109256</v>
      </c>
      <c r="Q92" s="23">
        <f>SUM(Q81:Q91)</f>
        <v>102099</v>
      </c>
      <c r="R92" s="23">
        <f>SUM(R81:R91)</f>
        <v>7157</v>
      </c>
      <c r="S92" s="24">
        <f t="shared" si="28"/>
        <v>7.0098629761310108E-2</v>
      </c>
      <c r="U92" s="23">
        <f>SUM(U81:U91)</f>
        <v>99832.680000000008</v>
      </c>
      <c r="V92" s="23">
        <f>SUM(V81:V91)</f>
        <v>102099</v>
      </c>
      <c r="W92" s="24">
        <f t="shared" si="29"/>
        <v>-2.2197279111450578E-2</v>
      </c>
      <c r="X92" s="71"/>
      <c r="Y92" s="60"/>
      <c r="Z92" s="1"/>
      <c r="AD92" s="2">
        <f>+$P92*AD91</f>
        <v>43702.400000000001</v>
      </c>
      <c r="AE92" s="2">
        <f t="shared" ref="AE92:AG92" si="30">+$P92*AE91</f>
        <v>16388.399999999998</v>
      </c>
      <c r="AF92" s="2">
        <f t="shared" si="30"/>
        <v>43702.400000000001</v>
      </c>
      <c r="AG92" s="2">
        <f t="shared" si="30"/>
        <v>5462.8</v>
      </c>
      <c r="AH92" s="2">
        <f>+U92*AH91</f>
        <v>39933.072000000007</v>
      </c>
      <c r="AI92" s="2">
        <f>+U92*AI91</f>
        <v>14974.902</v>
      </c>
      <c r="AJ92" s="2">
        <f>+U92*AJ91</f>
        <v>39933.072000000007</v>
      </c>
      <c r="AK92" s="2">
        <f>+V92*AK91</f>
        <v>5104.9500000000007</v>
      </c>
    </row>
    <row r="93" spans="1:37" ht="19.5" customHeight="1" x14ac:dyDescent="0.35">
      <c r="A93" s="42">
        <v>80</v>
      </c>
      <c r="B93" s="881" t="s">
        <v>294</v>
      </c>
      <c r="D93" s="866" t="s">
        <v>367</v>
      </c>
      <c r="F93" s="433"/>
      <c r="G93" s="934"/>
      <c r="H93" s="934"/>
      <c r="R93" s="120"/>
      <c r="S93" s="38"/>
      <c r="U93" s="121"/>
      <c r="V93" s="34"/>
      <c r="W93" s="38"/>
      <c r="X93" s="61"/>
      <c r="Y93" s="57"/>
    </row>
    <row r="94" spans="1:37" ht="14.5" customHeight="1" x14ac:dyDescent="0.35">
      <c r="A94" s="42">
        <v>81</v>
      </c>
      <c r="C94" s="228" t="s">
        <v>171</v>
      </c>
      <c r="D94" s="240"/>
      <c r="E94" s="241"/>
      <c r="F94" s="254"/>
      <c r="G94" s="345"/>
      <c r="H94" s="255"/>
      <c r="I94" s="256"/>
      <c r="J94" s="241"/>
      <c r="K94" s="256"/>
      <c r="L94" s="257"/>
      <c r="M94" s="258"/>
      <c r="N94" s="258"/>
      <c r="O94" s="240"/>
      <c r="P94" s="259">
        <f>+'Assoc. Pastor'!I15</f>
        <v>66953</v>
      </c>
      <c r="Q94" s="259">
        <f>+'Assoc. Pastor'!E15</f>
        <v>65087</v>
      </c>
      <c r="R94" s="226">
        <f t="shared" ref="R94:R96" si="31">+P94-Q94</f>
        <v>1866</v>
      </c>
      <c r="S94" s="227">
        <f t="shared" ref="S94:S95" si="32">IF(Q94=0,"NA",(+P94-Q94)/Q94)</f>
        <v>2.866931952617266E-2</v>
      </c>
      <c r="T94" s="228"/>
      <c r="U94" s="225">
        <f>45087+20000</f>
        <v>65087</v>
      </c>
      <c r="V94" s="225">
        <f>45087+20000</f>
        <v>65087</v>
      </c>
      <c r="W94" s="227">
        <f t="shared" ref="W94:W95" si="33">IF(V94=0,"NA",(+U94-V94)/V94)</f>
        <v>0</v>
      </c>
      <c r="X94" s="799" t="s">
        <v>562</v>
      </c>
      <c r="Y94" s="61" t="s">
        <v>127</v>
      </c>
    </row>
    <row r="95" spans="1:37" x14ac:dyDescent="0.35">
      <c r="A95" s="42">
        <v>82</v>
      </c>
      <c r="C95" s="233" t="s">
        <v>36</v>
      </c>
      <c r="D95" s="243"/>
      <c r="E95" s="244"/>
      <c r="F95" s="260"/>
      <c r="G95" s="261"/>
      <c r="H95" s="262"/>
      <c r="I95" s="263"/>
      <c r="J95" s="244"/>
      <c r="K95" s="264"/>
      <c r="L95" s="244"/>
      <c r="M95" s="265"/>
      <c r="N95" s="265"/>
      <c r="O95" s="266"/>
      <c r="P95" s="267">
        <f>+'Assoc. Pastor'!I46</f>
        <v>1200</v>
      </c>
      <c r="Q95" s="267">
        <f>+'Assoc. Pastor'!E46</f>
        <v>1200</v>
      </c>
      <c r="R95" s="231">
        <f t="shared" si="31"/>
        <v>0</v>
      </c>
      <c r="S95" s="232">
        <f t="shared" si="32"/>
        <v>0</v>
      </c>
      <c r="T95" s="233"/>
      <c r="U95" s="230">
        <v>0</v>
      </c>
      <c r="V95" s="230">
        <v>1200</v>
      </c>
      <c r="W95" s="232">
        <f t="shared" si="33"/>
        <v>-1</v>
      </c>
      <c r="X95" s="234" t="s">
        <v>163</v>
      </c>
      <c r="Y95" s="61"/>
    </row>
    <row r="96" spans="1:37" ht="14.5" customHeight="1" x14ac:dyDescent="0.35">
      <c r="C96" s="233" t="s">
        <v>297</v>
      </c>
      <c r="D96" s="243"/>
      <c r="E96" s="244"/>
      <c r="F96" s="260"/>
      <c r="G96" s="261"/>
      <c r="H96" s="244"/>
      <c r="I96" s="244"/>
      <c r="J96" s="262"/>
      <c r="K96" s="244"/>
      <c r="L96" s="244"/>
      <c r="M96" s="244"/>
      <c r="N96" s="244"/>
      <c r="O96" s="266"/>
      <c r="P96" s="267">
        <f>+'Assoc. Pastor'!I18</f>
        <v>5122</v>
      </c>
      <c r="Q96" s="267">
        <f>+'Assoc. Pastor'!E18</f>
        <v>4979</v>
      </c>
      <c r="R96" s="231">
        <f t="shared" si="31"/>
        <v>143</v>
      </c>
      <c r="S96" s="232">
        <f>IF(Q96=0,"NA",(+P96-Q96)/Q96)</f>
        <v>2.8720626631853787E-2</v>
      </c>
      <c r="T96" s="233"/>
      <c r="U96" s="230">
        <v>4979</v>
      </c>
      <c r="V96" s="230">
        <v>4979</v>
      </c>
      <c r="W96" s="232">
        <f>IF(V96=0,"NA",(+U96-V96)/V96)</f>
        <v>0</v>
      </c>
      <c r="X96" s="234" t="s">
        <v>213</v>
      </c>
      <c r="Y96" s="61"/>
      <c r="AA96" s="425"/>
    </row>
    <row r="97" spans="1:36" ht="14" customHeight="1" x14ac:dyDescent="0.35">
      <c r="C97" s="233" t="s">
        <v>165</v>
      </c>
      <c r="D97" s="243"/>
      <c r="E97" s="244"/>
      <c r="F97" s="272"/>
      <c r="G97" s="244"/>
      <c r="H97" s="273"/>
      <c r="I97" s="244"/>
      <c r="J97" s="244"/>
      <c r="K97" s="244"/>
      <c r="L97" s="244"/>
      <c r="M97" s="244"/>
      <c r="N97" s="244"/>
      <c r="O97" s="274"/>
      <c r="P97" s="267">
        <f>+'Assoc. Pastor'!I37</f>
        <v>11532</v>
      </c>
      <c r="Q97" s="267">
        <f>+'Assoc. Pastor'!E37</f>
        <v>11211</v>
      </c>
      <c r="R97" s="231">
        <f>+P97-Q97</f>
        <v>321</v>
      </c>
      <c r="S97" s="232">
        <f>IF(Q97=0,"NA",(+P97-Q97)/Q97)</f>
        <v>2.8632592989028632E-2</v>
      </c>
      <c r="T97" s="233"/>
      <c r="U97" s="230">
        <v>11210.52</v>
      </c>
      <c r="V97" s="251">
        <v>11211</v>
      </c>
      <c r="W97" s="232">
        <f>IF(V97=0,"NA",(+U97-V97)/V97)</f>
        <v>-4.2815092320003878E-5</v>
      </c>
      <c r="X97" s="234"/>
      <c r="Y97" s="65" t="s">
        <v>139</v>
      </c>
    </row>
    <row r="98" spans="1:36" ht="14.4" hidden="1" customHeight="1" x14ac:dyDescent="0.35">
      <c r="C98" s="233" t="s">
        <v>298</v>
      </c>
      <c r="D98" s="243"/>
      <c r="E98" s="244"/>
      <c r="F98" s="244"/>
      <c r="G98" s="244"/>
      <c r="H98" s="275"/>
      <c r="I98" s="244"/>
      <c r="J98" s="244"/>
      <c r="K98" s="244"/>
      <c r="L98" s="244"/>
      <c r="M98" s="244"/>
      <c r="N98" s="244"/>
      <c r="O98" s="276"/>
      <c r="P98" s="251">
        <v>0</v>
      </c>
      <c r="Q98" s="251">
        <v>0</v>
      </c>
      <c r="R98" s="231">
        <f>+P98-Q98</f>
        <v>0</v>
      </c>
      <c r="S98" s="232" t="str">
        <f>IF(Q98=0,"NA",(+P98-Q98)/Q98)</f>
        <v>NA</v>
      </c>
      <c r="T98" s="233"/>
      <c r="U98" s="230">
        <v>0</v>
      </c>
      <c r="V98" s="251">
        <v>0</v>
      </c>
      <c r="W98" s="232" t="str">
        <f>IF(V98=0,"NA",(+U98-V98)/V98)</f>
        <v>NA</v>
      </c>
      <c r="X98" s="234" t="s">
        <v>368</v>
      </c>
      <c r="Y98" s="65"/>
      <c r="Z98" s="2"/>
    </row>
    <row r="99" spans="1:36" ht="14.4" customHeight="1" x14ac:dyDescent="0.35">
      <c r="A99" s="42">
        <v>83</v>
      </c>
      <c r="C99" s="233" t="s">
        <v>166</v>
      </c>
      <c r="D99" s="243"/>
      <c r="E99" s="265"/>
      <c r="F99" s="275"/>
      <c r="G99" s="265"/>
      <c r="H99" s="275"/>
      <c r="I99" s="265"/>
      <c r="J99" s="275"/>
      <c r="K99" s="278"/>
      <c r="L99" s="244"/>
      <c r="M99" s="244"/>
      <c r="N99" s="244"/>
      <c r="O99" s="274"/>
      <c r="P99" s="267">
        <f>+'Assoc. Pastor'!I44</f>
        <v>1586</v>
      </c>
      <c r="Q99" s="267">
        <f>+'Assoc. Pastor'!E44</f>
        <v>1541</v>
      </c>
      <c r="R99" s="231">
        <f t="shared" ref="R99:R100" si="34">+P99-Q99</f>
        <v>45</v>
      </c>
      <c r="S99" s="232">
        <f t="shared" ref="S99" si="35">IF(Q99=0,"NA",(+P99-Q99)/Q99)</f>
        <v>2.9201817001946788E-2</v>
      </c>
      <c r="T99" s="233"/>
      <c r="U99" s="230">
        <v>1541.4</v>
      </c>
      <c r="V99" s="251">
        <v>1541</v>
      </c>
      <c r="W99" s="232">
        <f t="shared" ref="W99" si="36">IF(V99=0,"NA",(+U99-V99)/V99)</f>
        <v>2.5957170668403047E-4</v>
      </c>
      <c r="X99" s="277" t="s">
        <v>580</v>
      </c>
      <c r="Y99" s="65" t="s">
        <v>139</v>
      </c>
    </row>
    <row r="100" spans="1:36" x14ac:dyDescent="0.35">
      <c r="C100" s="233" t="s">
        <v>103</v>
      </c>
      <c r="D100" s="243"/>
      <c r="E100" s="244"/>
      <c r="F100" s="244"/>
      <c r="G100" s="244"/>
      <c r="H100" s="244"/>
      <c r="I100" s="244"/>
      <c r="J100" s="244"/>
      <c r="K100" s="244"/>
      <c r="L100" s="244"/>
      <c r="M100" s="244"/>
      <c r="N100" s="244"/>
      <c r="O100" s="274"/>
      <c r="P100" s="267">
        <f>+'Assoc. Pastor'!I50</f>
        <v>600</v>
      </c>
      <c r="Q100" s="267">
        <f>+'Assoc. Pastor'!E50</f>
        <v>600</v>
      </c>
      <c r="R100" s="231">
        <f t="shared" si="34"/>
        <v>0</v>
      </c>
      <c r="S100" s="232">
        <f>IF(Q100=0,"NA",(+P100-Q100)/Q100)</f>
        <v>0</v>
      </c>
      <c r="T100" s="233"/>
      <c r="U100" s="230">
        <v>0</v>
      </c>
      <c r="V100" s="230">
        <v>600</v>
      </c>
      <c r="W100" s="232">
        <f>IF(V100=0,"NA",(+U100-V100)/V100)</f>
        <v>-1</v>
      </c>
      <c r="X100" s="234" t="s">
        <v>163</v>
      </c>
      <c r="Y100" s="61"/>
    </row>
    <row r="101" spans="1:36" x14ac:dyDescent="0.35">
      <c r="C101" s="233" t="s">
        <v>206</v>
      </c>
      <c r="D101" s="243"/>
      <c r="E101" s="244"/>
      <c r="F101" s="245"/>
      <c r="G101" s="245"/>
      <c r="H101" s="245"/>
      <c r="I101" s="245"/>
      <c r="J101" s="245"/>
      <c r="K101" s="245"/>
      <c r="L101" s="245"/>
      <c r="M101" s="245"/>
      <c r="N101" s="245"/>
      <c r="O101" s="279"/>
      <c r="P101" s="267">
        <f>+'Assoc. Pastor'!I51</f>
        <v>480</v>
      </c>
      <c r="Q101" s="267">
        <f>+'Assoc. Pastor'!E51</f>
        <v>480</v>
      </c>
      <c r="R101" s="231">
        <f>+P101-Q101</f>
        <v>0</v>
      </c>
      <c r="S101" s="232">
        <f>IF(Q101=0,"NA",(+P101-Q101)/Q101)</f>
        <v>0</v>
      </c>
      <c r="T101" s="233"/>
      <c r="U101" s="230">
        <v>480</v>
      </c>
      <c r="V101" s="230">
        <v>480</v>
      </c>
      <c r="W101" s="232">
        <f>IF(V101=0,"NA",(+U101-V101)/V101)</f>
        <v>0</v>
      </c>
      <c r="X101" s="234" t="s">
        <v>215</v>
      </c>
      <c r="Y101" s="61"/>
    </row>
    <row r="102" spans="1:36" x14ac:dyDescent="0.35">
      <c r="A102" s="42">
        <v>85</v>
      </c>
      <c r="C102" s="233" t="s">
        <v>37</v>
      </c>
      <c r="D102" s="243"/>
      <c r="E102" s="244"/>
      <c r="F102" s="245"/>
      <c r="G102" s="245"/>
      <c r="H102" s="245"/>
      <c r="I102" s="245"/>
      <c r="J102" s="245"/>
      <c r="K102" s="245"/>
      <c r="L102" s="245"/>
      <c r="M102" s="245"/>
      <c r="N102" s="245"/>
      <c r="O102" s="283"/>
      <c r="P102" s="267">
        <f>+'Assoc. Pastor'!I47</f>
        <v>1300</v>
      </c>
      <c r="Q102" s="267">
        <f>+'Assoc. Pastor'!E47</f>
        <v>1300</v>
      </c>
      <c r="R102" s="231">
        <f t="shared" ref="R102:R103" si="37">+P102-Q102</f>
        <v>0</v>
      </c>
      <c r="S102" s="232">
        <f t="shared" ref="S102:S104" si="38">IF(Q102=0,"NA",(+P102-Q102)/Q102)</f>
        <v>0</v>
      </c>
      <c r="T102" s="233"/>
      <c r="U102" s="230">
        <v>497</v>
      </c>
      <c r="V102" s="230">
        <v>1300</v>
      </c>
      <c r="W102" s="232">
        <f t="shared" ref="W102:W104" si="39">IF(V102=0,"NA",(+U102-V102)/V102)</f>
        <v>-0.61769230769230765</v>
      </c>
      <c r="X102" s="234" t="s">
        <v>163</v>
      </c>
      <c r="Y102" s="61"/>
      <c r="AD102" s="383">
        <v>0.4</v>
      </c>
      <c r="AE102" s="383">
        <v>0.4</v>
      </c>
      <c r="AF102" s="383">
        <v>0.2</v>
      </c>
      <c r="AH102" s="34">
        <f>+AD102</f>
        <v>0.4</v>
      </c>
      <c r="AI102" s="34">
        <f>+AE102</f>
        <v>0.4</v>
      </c>
      <c r="AJ102" s="34">
        <f>+AF102</f>
        <v>0.2</v>
      </c>
    </row>
    <row r="103" spans="1:36" hidden="1" x14ac:dyDescent="0.35">
      <c r="C103" s="233" t="s">
        <v>293</v>
      </c>
      <c r="D103" s="243"/>
      <c r="E103" s="244"/>
      <c r="F103" s="245"/>
      <c r="G103" s="245"/>
      <c r="H103" s="245"/>
      <c r="I103" s="245"/>
      <c r="J103" s="245"/>
      <c r="K103" s="245"/>
      <c r="L103" s="245"/>
      <c r="M103" s="245"/>
      <c r="N103" s="245"/>
      <c r="O103" s="283"/>
      <c r="P103" s="267">
        <f>+'Assoc. Pastor'!I52</f>
        <v>0</v>
      </c>
      <c r="Q103" s="267">
        <f>+'Assoc. Pastor'!E52</f>
        <v>0</v>
      </c>
      <c r="R103" s="231">
        <f t="shared" si="37"/>
        <v>0</v>
      </c>
      <c r="S103" s="232" t="str">
        <f t="shared" si="38"/>
        <v>NA</v>
      </c>
      <c r="T103" s="233"/>
      <c r="U103" s="230">
        <v>0</v>
      </c>
      <c r="V103" s="230">
        <v>0</v>
      </c>
      <c r="W103" s="232" t="str">
        <f t="shared" ref="W103" si="40">IF(V103=0,"NA",(+U103-V103)/V103)</f>
        <v>NA</v>
      </c>
      <c r="X103" s="234" t="s">
        <v>369</v>
      </c>
      <c r="Y103" s="61"/>
      <c r="AD103" s="383"/>
      <c r="AE103" s="383"/>
      <c r="AF103" s="383"/>
      <c r="AH103" s="34"/>
      <c r="AI103" s="34"/>
      <c r="AJ103" s="34"/>
    </row>
    <row r="104" spans="1:36" s="2" customFormat="1" x14ac:dyDescent="0.35">
      <c r="A104" s="42">
        <v>86</v>
      </c>
      <c r="B104" s="23" t="s">
        <v>295</v>
      </c>
      <c r="C104" s="23"/>
      <c r="D104" s="23"/>
      <c r="E104" s="85"/>
      <c r="F104" s="85"/>
      <c r="G104" s="85"/>
      <c r="H104" s="85"/>
      <c r="I104" s="85"/>
      <c r="J104" s="85"/>
      <c r="K104" s="85"/>
      <c r="L104" s="85"/>
      <c r="M104" s="85"/>
      <c r="N104" s="85"/>
      <c r="O104" s="23"/>
      <c r="P104" s="23">
        <f>SUM(P94:P103)</f>
        <v>88773</v>
      </c>
      <c r="Q104" s="23">
        <f>SUM(Q94:Q103)</f>
        <v>86398</v>
      </c>
      <c r="R104" s="23">
        <f>SUM(R94:R103)</f>
        <v>2375</v>
      </c>
      <c r="S104" s="24">
        <f t="shared" si="38"/>
        <v>2.7489062246811267E-2</v>
      </c>
      <c r="U104" s="23">
        <f>SUM(U94:U103)</f>
        <v>83794.92</v>
      </c>
      <c r="V104" s="23">
        <f>SUM(V94:V103)</f>
        <v>86398</v>
      </c>
      <c r="W104" s="24">
        <f t="shared" si="39"/>
        <v>-3.0128938169865064E-2</v>
      </c>
      <c r="X104" s="71"/>
      <c r="Y104" s="60"/>
      <c r="Z104" s="1"/>
      <c r="AD104" s="2">
        <f>+$P104*AD102</f>
        <v>35509.200000000004</v>
      </c>
      <c r="AE104" s="2">
        <f t="shared" ref="AE104:AF104" si="41">+$P104*AE102</f>
        <v>35509.200000000004</v>
      </c>
      <c r="AF104" s="2">
        <f t="shared" si="41"/>
        <v>17754.600000000002</v>
      </c>
      <c r="AH104" s="2">
        <f>+U104*AH102</f>
        <v>33517.968000000001</v>
      </c>
      <c r="AI104" s="2">
        <f>+U104*AI102</f>
        <v>33517.968000000001</v>
      </c>
      <c r="AJ104" s="2">
        <f>+U104*AJ102</f>
        <v>16758.984</v>
      </c>
    </row>
    <row r="105" spans="1:36" s="865" customFormat="1" ht="19.5" customHeight="1" x14ac:dyDescent="0.35">
      <c r="A105" s="864">
        <v>93</v>
      </c>
      <c r="B105" s="881" t="s">
        <v>473</v>
      </c>
      <c r="D105" s="866"/>
      <c r="E105" s="867"/>
      <c r="F105" s="868"/>
      <c r="G105" s="868"/>
      <c r="H105" s="868"/>
      <c r="I105" s="868"/>
      <c r="J105" s="868"/>
      <c r="K105" s="868"/>
      <c r="L105" s="868"/>
      <c r="M105" s="868"/>
      <c r="N105" s="868"/>
      <c r="S105" s="868"/>
      <c r="W105" s="868"/>
      <c r="X105" s="869"/>
      <c r="Y105" s="870"/>
    </row>
    <row r="106" spans="1:36" ht="30" customHeight="1" x14ac:dyDescent="0.35">
      <c r="A106" s="42">
        <v>95</v>
      </c>
      <c r="C106" s="393" t="s">
        <v>40</v>
      </c>
      <c r="D106" s="394"/>
      <c r="E106" s="800">
        <v>2</v>
      </c>
      <c r="F106" s="857">
        <f>ROUND(+J106*(1+H106),2)</f>
        <v>10</v>
      </c>
      <c r="G106" s="800">
        <v>40</v>
      </c>
      <c r="H106" s="858">
        <v>0</v>
      </c>
      <c r="I106" s="800">
        <v>4</v>
      </c>
      <c r="J106" s="801">
        <v>10</v>
      </c>
      <c r="K106" s="800">
        <v>40</v>
      </c>
      <c r="L106" s="399">
        <f>IF(M106=0,0,(+J106-M106)/M106)</f>
        <v>0</v>
      </c>
      <c r="M106" s="802">
        <v>10</v>
      </c>
      <c r="N106" s="802"/>
      <c r="O106" s="393"/>
      <c r="P106" s="401">
        <v>800</v>
      </c>
      <c r="Q106" s="401">
        <v>800</v>
      </c>
      <c r="R106" s="398">
        <f>+P106-Q106</f>
        <v>0</v>
      </c>
      <c r="S106" s="399">
        <f>IF(Q106=0,"NA",(+P106-Q106)/Q106)</f>
        <v>0</v>
      </c>
      <c r="T106" s="393"/>
      <c r="U106" s="401">
        <v>233.5</v>
      </c>
      <c r="V106" s="397">
        <v>800</v>
      </c>
      <c r="W106" s="399">
        <f>IF(V106=0,"NA",(+U106-V106)/V106)</f>
        <v>-0.708125</v>
      </c>
      <c r="X106" s="859" t="str">
        <f>Bud_Yr&amp;":  avg "&amp;E106&amp;" hrs/week at $"&amp;F106&amp;"/hr ("&amp;ROUND(H106*100,1)&amp;"% incr.) for "&amp;G106&amp;" wks (Sept-May, excluding Lent) x 2 people.  "&amp;Bud_Yr-1&amp;":  avg "&amp;I106&amp;" hrs/wk at $"&amp;J106&amp;"/hr ("&amp;ROUND(L106*100,1)&amp;"% incr.) for "&amp;K106&amp;" wks."</f>
        <v>2022:  avg 2 hrs/week at $10/hr (0% incr.) for 40 wks (Sept-May, excluding Lent) x 2 people.  2021:  avg 4 hrs/wk at $10/hr (0% incr.) for 40 wks.</v>
      </c>
      <c r="Y106" s="1" t="s">
        <v>115</v>
      </c>
      <c r="AE106" s="1">
        <f>+$P106</f>
        <v>800</v>
      </c>
      <c r="AI106" s="1">
        <f>+$U106</f>
        <v>233.5</v>
      </c>
    </row>
    <row r="107" spans="1:36" s="2" customFormat="1" x14ac:dyDescent="0.35">
      <c r="A107" s="42">
        <v>96</v>
      </c>
      <c r="B107" s="23" t="s">
        <v>474</v>
      </c>
      <c r="C107" s="23"/>
      <c r="D107" s="23"/>
      <c r="E107" s="85"/>
      <c r="F107" s="85"/>
      <c r="G107" s="85"/>
      <c r="H107" s="85"/>
      <c r="I107" s="85"/>
      <c r="J107" s="85"/>
      <c r="K107" s="85"/>
      <c r="L107" s="85"/>
      <c r="M107" s="85"/>
      <c r="N107" s="85"/>
      <c r="O107" s="23"/>
      <c r="P107" s="23">
        <f>SUM(P106:P106)</f>
        <v>800</v>
      </c>
      <c r="Q107" s="23">
        <f>SUM(Q106:Q106)</f>
        <v>800</v>
      </c>
      <c r="R107" s="23">
        <f>SUM(R106:R106)</f>
        <v>0</v>
      </c>
      <c r="S107" s="24">
        <f>IF(Q107=0,"NA",(+P107-Q107)/Q107)</f>
        <v>0</v>
      </c>
      <c r="U107" s="23">
        <f>SUM(U106:U106)</f>
        <v>233.5</v>
      </c>
      <c r="V107" s="23">
        <f>SUM(V106:V106)</f>
        <v>800</v>
      </c>
      <c r="W107" s="24">
        <f>IF(V107=0,"NA",(+U107-V107)/V107)</f>
        <v>-0.708125</v>
      </c>
      <c r="X107" s="71"/>
      <c r="Y107" s="60"/>
      <c r="Z107" s="1"/>
    </row>
    <row r="108" spans="1:36" ht="19.5" customHeight="1" x14ac:dyDescent="0.35">
      <c r="A108" s="42">
        <v>107</v>
      </c>
      <c r="B108" s="881" t="s">
        <v>42</v>
      </c>
      <c r="S108" s="4"/>
      <c r="X108" s="70"/>
      <c r="Y108" s="58"/>
    </row>
    <row r="109" spans="1:36" x14ac:dyDescent="0.35">
      <c r="A109" s="42">
        <v>108</v>
      </c>
      <c r="C109" s="393" t="s">
        <v>105</v>
      </c>
      <c r="D109" s="394"/>
      <c r="E109" s="395"/>
      <c r="F109" s="396"/>
      <c r="G109" s="396"/>
      <c r="H109" s="396"/>
      <c r="I109" s="396"/>
      <c r="J109" s="396"/>
      <c r="K109" s="396"/>
      <c r="L109" s="396"/>
      <c r="M109" s="396"/>
      <c r="N109" s="396"/>
      <c r="O109" s="803"/>
      <c r="P109" s="401">
        <f>ROUND(+Q109*(1+$F$79+0.025),0)</f>
        <v>16795</v>
      </c>
      <c r="Q109" s="397">
        <v>16385</v>
      </c>
      <c r="R109" s="398">
        <f t="shared" ref="R109:R120" si="42">+P109-Q109</f>
        <v>410</v>
      </c>
      <c r="S109" s="399">
        <f t="shared" ref="S109:S121" si="43">IF(Q109=0,"NA",(+P109-Q109)/Q109)</f>
        <v>2.5022886786695148E-2</v>
      </c>
      <c r="T109" s="393"/>
      <c r="U109" s="397">
        <v>16385</v>
      </c>
      <c r="V109" s="397">
        <v>16385</v>
      </c>
      <c r="W109" s="399">
        <f t="shared" ref="W109:W121" si="44">IF(V109=0,"NA",(+U109-V109)/V109)</f>
        <v>0</v>
      </c>
      <c r="X109" s="400" t="s">
        <v>315</v>
      </c>
      <c r="Y109" s="57" t="s">
        <v>140</v>
      </c>
      <c r="Z109" s="2"/>
      <c r="AD109" s="1">
        <f t="shared" ref="AD109:AE120" si="45">+$P109</f>
        <v>16795</v>
      </c>
      <c r="AH109" s="1">
        <f t="shared" ref="AH109:AI120" si="46">+$U109</f>
        <v>16385</v>
      </c>
    </row>
    <row r="110" spans="1:36" x14ac:dyDescent="0.35">
      <c r="C110" s="228"/>
      <c r="D110" s="240"/>
      <c r="E110" s="241"/>
      <c r="F110" s="242"/>
      <c r="G110" s="242"/>
      <c r="H110" s="242"/>
      <c r="I110" s="242"/>
      <c r="J110" s="242"/>
      <c r="K110" s="242"/>
      <c r="L110" s="242"/>
      <c r="M110" s="242"/>
      <c r="N110" s="242"/>
      <c r="O110" s="282"/>
      <c r="P110" s="259"/>
      <c r="Q110" s="225"/>
      <c r="R110" s="226"/>
      <c r="S110" s="227"/>
      <c r="T110" s="228"/>
      <c r="U110" s="225"/>
      <c r="V110" s="225"/>
      <c r="W110" s="227"/>
      <c r="X110" s="799" t="s">
        <v>500</v>
      </c>
      <c r="Y110" s="57"/>
      <c r="Z110" s="2"/>
    </row>
    <row r="111" spans="1:36" x14ac:dyDescent="0.35">
      <c r="C111" s="238" t="s">
        <v>218</v>
      </c>
      <c r="D111" s="246"/>
      <c r="E111" s="247"/>
      <c r="F111" s="248"/>
      <c r="G111" s="248"/>
      <c r="H111" s="248"/>
      <c r="I111" s="248"/>
      <c r="J111" s="248"/>
      <c r="K111" s="248"/>
      <c r="L111" s="248"/>
      <c r="M111" s="248"/>
      <c r="N111" s="248"/>
      <c r="O111" s="280"/>
      <c r="P111" s="281">
        <f>+'Band and Other Music'!P12</f>
        <v>3168</v>
      </c>
      <c r="Q111" s="236">
        <f>+'Band and Other Music'!E12</f>
        <v>3091</v>
      </c>
      <c r="R111" s="236">
        <f>+P111-Q111</f>
        <v>77</v>
      </c>
      <c r="S111" s="237">
        <f>IF(Q111=0,"NA",(+P111-Q111)/Q111)</f>
        <v>2.491103202846975E-2</v>
      </c>
      <c r="T111" s="238"/>
      <c r="U111" s="235">
        <v>3091</v>
      </c>
      <c r="V111" s="235">
        <v>3091</v>
      </c>
      <c r="W111" s="237">
        <f>IF(V111=0,"NA",(+U111-V111)/V111)</f>
        <v>0</v>
      </c>
      <c r="X111" s="239" t="s">
        <v>515</v>
      </c>
      <c r="Y111" s="57" t="s">
        <v>140</v>
      </c>
      <c r="AD111" s="1">
        <f t="shared" si="45"/>
        <v>3168</v>
      </c>
      <c r="AH111" s="1">
        <f t="shared" si="46"/>
        <v>3091</v>
      </c>
    </row>
    <row r="112" spans="1:36" x14ac:dyDescent="0.35">
      <c r="C112" s="228"/>
      <c r="D112" s="240"/>
      <c r="E112" s="241"/>
      <c r="F112" s="242"/>
      <c r="G112" s="242"/>
      <c r="H112" s="242"/>
      <c r="I112" s="242"/>
      <c r="J112" s="242"/>
      <c r="K112" s="242"/>
      <c r="L112" s="242"/>
      <c r="M112" s="242"/>
      <c r="N112" s="242"/>
      <c r="O112" s="282"/>
      <c r="P112" s="259"/>
      <c r="Q112" s="226"/>
      <c r="R112" s="226"/>
      <c r="S112" s="227"/>
      <c r="T112" s="228"/>
      <c r="U112" s="225"/>
      <c r="V112" s="225"/>
      <c r="W112" s="227"/>
      <c r="X112" s="799" t="s">
        <v>500</v>
      </c>
      <c r="Y112" s="57"/>
    </row>
    <row r="113" spans="1:37" x14ac:dyDescent="0.35">
      <c r="A113" s="42">
        <v>109</v>
      </c>
      <c r="C113" s="233" t="s">
        <v>43</v>
      </c>
      <c r="D113" s="243"/>
      <c r="E113" s="244"/>
      <c r="F113" s="245"/>
      <c r="G113" s="245"/>
      <c r="H113" s="245"/>
      <c r="I113" s="245"/>
      <c r="J113" s="245"/>
      <c r="K113" s="245"/>
      <c r="L113" s="245"/>
      <c r="M113" s="245"/>
      <c r="N113" s="245"/>
      <c r="O113" s="283"/>
      <c r="P113" s="230">
        <v>500</v>
      </c>
      <c r="Q113" s="230">
        <v>500</v>
      </c>
      <c r="R113" s="231">
        <f t="shared" si="42"/>
        <v>0</v>
      </c>
      <c r="S113" s="232">
        <f t="shared" si="43"/>
        <v>0</v>
      </c>
      <c r="T113" s="233"/>
      <c r="U113" s="230">
        <v>300</v>
      </c>
      <c r="V113" s="230">
        <v>500</v>
      </c>
      <c r="W113" s="232">
        <f t="shared" si="44"/>
        <v>-0.4</v>
      </c>
      <c r="X113" s="284"/>
      <c r="Y113" s="57" t="s">
        <v>143</v>
      </c>
      <c r="AD113" s="1">
        <f t="shared" si="45"/>
        <v>500</v>
      </c>
      <c r="AH113" s="1">
        <f t="shared" si="46"/>
        <v>300</v>
      </c>
    </row>
    <row r="114" spans="1:37" ht="28.5" customHeight="1" x14ac:dyDescent="0.35">
      <c r="A114" s="42">
        <v>110</v>
      </c>
      <c r="C114" s="233" t="s">
        <v>44</v>
      </c>
      <c r="D114" s="243"/>
      <c r="E114" s="244"/>
      <c r="F114" s="245"/>
      <c r="G114" s="245"/>
      <c r="H114" s="245"/>
      <c r="I114" s="245"/>
      <c r="J114" s="245"/>
      <c r="K114" s="245"/>
      <c r="L114" s="245"/>
      <c r="M114" s="245"/>
      <c r="N114" s="245"/>
      <c r="O114" s="283"/>
      <c r="P114" s="267">
        <f>+'Band and Other Music'!P29</f>
        <v>13385</v>
      </c>
      <c r="Q114" s="226">
        <f>+'Band and Other Music'!E29</f>
        <v>13800</v>
      </c>
      <c r="R114" s="231">
        <f t="shared" si="42"/>
        <v>-415</v>
      </c>
      <c r="S114" s="232">
        <f t="shared" si="43"/>
        <v>-3.0072463768115943E-2</v>
      </c>
      <c r="T114" s="233"/>
      <c r="U114" s="230">
        <v>5495</v>
      </c>
      <c r="V114" s="230">
        <v>13800</v>
      </c>
      <c r="W114" s="232">
        <f t="shared" si="44"/>
        <v>-0.60181159420289854</v>
      </c>
      <c r="X114" s="638" t="s">
        <v>563</v>
      </c>
      <c r="Y114" s="57" t="s">
        <v>142</v>
      </c>
      <c r="AD114" s="1">
        <f t="shared" si="45"/>
        <v>13385</v>
      </c>
      <c r="AH114" s="1">
        <f t="shared" si="46"/>
        <v>5495</v>
      </c>
    </row>
    <row r="115" spans="1:37" ht="14.5" customHeight="1" x14ac:dyDescent="0.35">
      <c r="A115" s="42">
        <v>110</v>
      </c>
      <c r="C115" s="933" t="s">
        <v>581</v>
      </c>
      <c r="D115" s="933"/>
      <c r="E115" s="244"/>
      <c r="F115" s="245"/>
      <c r="G115" s="245"/>
      <c r="H115" s="245"/>
      <c r="I115" s="245"/>
      <c r="J115" s="245"/>
      <c r="K115" s="245"/>
      <c r="L115" s="245"/>
      <c r="M115" s="245"/>
      <c r="N115" s="245"/>
      <c r="O115" s="283"/>
      <c r="P115" s="267">
        <f>+'Band and Other Music'!P52</f>
        <v>3000</v>
      </c>
      <c r="Q115" s="226">
        <f>+'Band and Other Music'!E52</f>
        <v>3000</v>
      </c>
      <c r="R115" s="231">
        <f>+P115-Q115</f>
        <v>0</v>
      </c>
      <c r="S115" s="232">
        <f>IF(Q115=0,"NA",(+P115-Q115)/Q115)</f>
        <v>0</v>
      </c>
      <c r="T115" s="233"/>
      <c r="U115" s="230">
        <v>465</v>
      </c>
      <c r="V115" s="230">
        <v>3000</v>
      </c>
      <c r="W115" s="232">
        <f>IF(V115=0,"NA",(+U115-V115)/V115)</f>
        <v>-0.84499999999999997</v>
      </c>
      <c r="X115" s="234"/>
      <c r="Y115" s="57" t="s">
        <v>142</v>
      </c>
      <c r="AD115" s="1">
        <f t="shared" si="45"/>
        <v>3000</v>
      </c>
      <c r="AH115" s="1">
        <f t="shared" si="46"/>
        <v>465</v>
      </c>
    </row>
    <row r="116" spans="1:37" x14ac:dyDescent="0.35">
      <c r="C116" s="233" t="s">
        <v>501</v>
      </c>
      <c r="D116" s="243"/>
      <c r="E116" s="244"/>
      <c r="F116" s="245"/>
      <c r="G116" s="245"/>
      <c r="H116" s="245"/>
      <c r="I116" s="245"/>
      <c r="J116" s="245"/>
      <c r="K116" s="245"/>
      <c r="L116" s="245"/>
      <c r="M116" s="245"/>
      <c r="N116" s="245"/>
      <c r="O116" s="283"/>
      <c r="P116" s="267">
        <f>+'Band and Other Music'!P41</f>
        <v>5750</v>
      </c>
      <c r="Q116" s="226">
        <f>+'Band and Other Music'!E41</f>
        <v>3375</v>
      </c>
      <c r="R116" s="231">
        <f>+P116-Q116</f>
        <v>2375</v>
      </c>
      <c r="S116" s="232">
        <f>IF(Q116=0,"NA",(+P116-Q116)/Q116)</f>
        <v>0.70370370370370372</v>
      </c>
      <c r="T116" s="233"/>
      <c r="U116" s="230">
        <v>500</v>
      </c>
      <c r="V116" s="230">
        <v>3375</v>
      </c>
      <c r="W116" s="232">
        <f>IF(V116=0,"NA",(+U116-V116)/V116)</f>
        <v>-0.85185185185185186</v>
      </c>
      <c r="X116" s="808" t="s">
        <v>502</v>
      </c>
      <c r="Y116" s="57"/>
      <c r="AD116" s="1">
        <f t="shared" si="45"/>
        <v>5750</v>
      </c>
      <c r="AH116" s="1">
        <f t="shared" si="46"/>
        <v>500</v>
      </c>
    </row>
    <row r="117" spans="1:37" x14ac:dyDescent="0.35">
      <c r="A117" s="42">
        <v>111</v>
      </c>
      <c r="C117" s="238" t="s">
        <v>45</v>
      </c>
      <c r="D117" s="246"/>
      <c r="E117" s="247"/>
      <c r="F117" s="248"/>
      <c r="G117" s="248"/>
      <c r="H117" s="248"/>
      <c r="I117" s="248"/>
      <c r="J117" s="248"/>
      <c r="K117" s="248"/>
      <c r="L117" s="248"/>
      <c r="M117" s="248"/>
      <c r="N117" s="248"/>
      <c r="O117" s="280"/>
      <c r="P117" s="252">
        <v>3000</v>
      </c>
      <c r="Q117" s="235">
        <v>7634</v>
      </c>
      <c r="R117" s="236">
        <f t="shared" si="42"/>
        <v>-4634</v>
      </c>
      <c r="S117" s="237">
        <f t="shared" si="43"/>
        <v>-0.60702122085407384</v>
      </c>
      <c r="T117" s="238"/>
      <c r="U117" s="235">
        <v>500</v>
      </c>
      <c r="V117" s="235">
        <v>7634</v>
      </c>
      <c r="W117" s="237">
        <f t="shared" si="44"/>
        <v>-0.93450353680901233</v>
      </c>
      <c r="X117" s="637" t="s">
        <v>503</v>
      </c>
      <c r="Y117" s="57" t="s">
        <v>141</v>
      </c>
      <c r="Z117" s="2"/>
      <c r="AD117" s="1">
        <f t="shared" si="45"/>
        <v>3000</v>
      </c>
      <c r="AH117" s="1">
        <f t="shared" si="46"/>
        <v>500</v>
      </c>
    </row>
    <row r="118" spans="1:37" x14ac:dyDescent="0.35">
      <c r="C118" s="228"/>
      <c r="D118" s="240"/>
      <c r="E118" s="241"/>
      <c r="F118" s="242"/>
      <c r="G118" s="242"/>
      <c r="H118" s="242"/>
      <c r="I118" s="242"/>
      <c r="J118" s="242"/>
      <c r="K118" s="242"/>
      <c r="L118" s="242"/>
      <c r="M118" s="242"/>
      <c r="N118" s="242"/>
      <c r="O118" s="282"/>
      <c r="P118" s="259"/>
      <c r="Q118" s="225"/>
      <c r="R118" s="226"/>
      <c r="S118" s="227"/>
      <c r="T118" s="228"/>
      <c r="U118" s="225"/>
      <c r="V118" s="225"/>
      <c r="W118" s="227"/>
      <c r="X118" s="229" t="s">
        <v>516</v>
      </c>
      <c r="Y118" s="57"/>
      <c r="Z118" s="2"/>
    </row>
    <row r="119" spans="1:37" x14ac:dyDescent="0.35">
      <c r="A119" s="42">
        <v>112</v>
      </c>
      <c r="C119" s="233" t="s">
        <v>46</v>
      </c>
      <c r="D119" s="243"/>
      <c r="E119" s="927" t="s">
        <v>155</v>
      </c>
      <c r="F119" s="928"/>
      <c r="G119" s="928"/>
      <c r="H119" s="928"/>
      <c r="I119" s="928"/>
      <c r="J119" s="928"/>
      <c r="K119" s="928"/>
      <c r="L119" s="928"/>
      <c r="M119" s="928"/>
      <c r="N119" s="928"/>
      <c r="O119" s="928"/>
      <c r="P119" s="251">
        <v>0</v>
      </c>
      <c r="Q119" s="230">
        <v>1500</v>
      </c>
      <c r="R119" s="231">
        <f t="shared" si="42"/>
        <v>-1500</v>
      </c>
      <c r="S119" s="232">
        <f t="shared" si="43"/>
        <v>-1</v>
      </c>
      <c r="T119" s="233"/>
      <c r="U119" s="230">
        <v>0</v>
      </c>
      <c r="V119" s="230">
        <v>1500</v>
      </c>
      <c r="W119" s="232">
        <f t="shared" si="44"/>
        <v>-1</v>
      </c>
      <c r="X119" s="234" t="s">
        <v>517</v>
      </c>
      <c r="Y119" s="57" t="s">
        <v>143</v>
      </c>
      <c r="AE119" s="1">
        <f t="shared" si="45"/>
        <v>0</v>
      </c>
      <c r="AI119" s="1">
        <f t="shared" si="46"/>
        <v>0</v>
      </c>
    </row>
    <row r="120" spans="1:37" x14ac:dyDescent="0.35">
      <c r="A120" s="42">
        <v>113</v>
      </c>
      <c r="C120" s="238" t="s">
        <v>106</v>
      </c>
      <c r="D120" s="246"/>
      <c r="E120" s="925" t="str">
        <f>Bud_Yr&amp;" Budget"</f>
        <v>2022 Budget</v>
      </c>
      <c r="F120" s="926"/>
      <c r="G120" s="926"/>
      <c r="H120" s="926"/>
      <c r="I120" s="926" t="str">
        <f>Bud_Yr-1&amp;" Budget"</f>
        <v>2021 Budget</v>
      </c>
      <c r="J120" s="926"/>
      <c r="K120" s="926"/>
      <c r="L120" s="926"/>
      <c r="M120" s="285">
        <f>Bud_Yr-2</f>
        <v>2020</v>
      </c>
      <c r="N120" s="285">
        <f>+M120-1</f>
        <v>2019</v>
      </c>
      <c r="O120" s="285">
        <f>+N120-1</f>
        <v>2018</v>
      </c>
      <c r="P120" s="281">
        <f>ROUND(+Q120*(1+$F$80),0)</f>
        <v>2759</v>
      </c>
      <c r="Q120" s="226">
        <v>2759</v>
      </c>
      <c r="R120" s="236">
        <f t="shared" si="42"/>
        <v>0</v>
      </c>
      <c r="S120" s="237">
        <f t="shared" si="43"/>
        <v>0</v>
      </c>
      <c r="T120" s="238"/>
      <c r="U120" s="235">
        <v>1434.42</v>
      </c>
      <c r="V120" s="235">
        <v>2759</v>
      </c>
      <c r="W120" s="237">
        <f t="shared" si="44"/>
        <v>-0.48009423704240667</v>
      </c>
      <c r="X120" s="637" t="s">
        <v>511</v>
      </c>
      <c r="Y120" s="57" t="s">
        <v>143</v>
      </c>
      <c r="AD120" s="1">
        <f t="shared" si="45"/>
        <v>2759</v>
      </c>
      <c r="AH120" s="1">
        <f t="shared" si="46"/>
        <v>1434.42</v>
      </c>
    </row>
    <row r="121" spans="1:37" s="2" customFormat="1" ht="15" thickBot="1" x14ac:dyDescent="0.4">
      <c r="A121" s="42">
        <v>114</v>
      </c>
      <c r="B121" s="23" t="s">
        <v>47</v>
      </c>
      <c r="C121" s="23"/>
      <c r="D121" s="23"/>
      <c r="E121" s="92" t="s">
        <v>153</v>
      </c>
      <c r="F121" s="93" t="s">
        <v>154</v>
      </c>
      <c r="G121" s="93" t="s">
        <v>157</v>
      </c>
      <c r="H121" s="93" t="s">
        <v>152</v>
      </c>
      <c r="I121" s="93" t="s">
        <v>153</v>
      </c>
      <c r="J121" s="93" t="s">
        <v>154</v>
      </c>
      <c r="K121" s="93" t="s">
        <v>157</v>
      </c>
      <c r="L121" s="93" t="s">
        <v>152</v>
      </c>
      <c r="M121" s="94" t="s">
        <v>154</v>
      </c>
      <c r="N121" s="94" t="s">
        <v>154</v>
      </c>
      <c r="O121" s="94" t="s">
        <v>154</v>
      </c>
      <c r="P121" s="23">
        <f>SUM(P109:P120)</f>
        <v>48357</v>
      </c>
      <c r="Q121" s="23">
        <f>SUM(Q109:Q120)</f>
        <v>52044</v>
      </c>
      <c r="R121" s="23">
        <f>SUM(R109:R120)</f>
        <v>-3687</v>
      </c>
      <c r="S121" s="24">
        <f t="shared" si="43"/>
        <v>-7.0843901314272539E-2</v>
      </c>
      <c r="U121" s="23">
        <f>SUM(U109:U120)</f>
        <v>28170.42</v>
      </c>
      <c r="V121" s="23">
        <f>SUM(V109:V120)</f>
        <v>52044</v>
      </c>
      <c r="W121" s="24">
        <f t="shared" si="44"/>
        <v>-0.45871916071016833</v>
      </c>
      <c r="X121" s="71"/>
      <c r="Y121" s="60"/>
      <c r="Z121" s="1"/>
      <c r="AC121" s="2" t="s">
        <v>386</v>
      </c>
      <c r="AD121" s="383">
        <v>0.33300000000000002</v>
      </c>
      <c r="AE121" s="383">
        <v>0.33300000000000002</v>
      </c>
      <c r="AF121" s="383">
        <v>0.33400000000000002</v>
      </c>
      <c r="AG121" s="1"/>
      <c r="AH121" s="34">
        <f t="shared" ref="AH121:AJ122" si="47">+AD121</f>
        <v>0.33300000000000002</v>
      </c>
      <c r="AI121" s="34">
        <f t="shared" si="47"/>
        <v>0.33300000000000002</v>
      </c>
      <c r="AJ121" s="34">
        <f t="shared" si="47"/>
        <v>0.33400000000000002</v>
      </c>
      <c r="AK121" s="1"/>
    </row>
    <row r="122" spans="1:37" ht="19.5" customHeight="1" x14ac:dyDescent="0.35">
      <c r="A122" s="42">
        <v>116</v>
      </c>
      <c r="B122" s="881" t="s">
        <v>48</v>
      </c>
      <c r="O122" s="25"/>
      <c r="P122" s="25"/>
      <c r="Q122" s="25"/>
      <c r="R122" s="25"/>
      <c r="S122" s="4"/>
      <c r="X122" s="70"/>
      <c r="Y122" s="58"/>
      <c r="AC122" s="1" t="s">
        <v>217</v>
      </c>
      <c r="AD122" s="383">
        <v>0.3</v>
      </c>
      <c r="AE122" s="383">
        <v>0.3</v>
      </c>
      <c r="AF122" s="383">
        <v>0.3</v>
      </c>
      <c r="AG122" s="383">
        <v>0.1</v>
      </c>
      <c r="AH122" s="34">
        <f t="shared" si="47"/>
        <v>0.3</v>
      </c>
      <c r="AI122" s="34">
        <f t="shared" si="47"/>
        <v>0.3</v>
      </c>
      <c r="AJ122" s="34">
        <f t="shared" si="47"/>
        <v>0.3</v>
      </c>
    </row>
    <row r="123" spans="1:37" x14ac:dyDescent="0.35">
      <c r="C123" s="393" t="s">
        <v>320</v>
      </c>
      <c r="D123" s="394"/>
      <c r="E123" s="800">
        <v>40</v>
      </c>
      <c r="F123" s="857">
        <f>ROUND(19.44*(1+0.025),2)</f>
        <v>19.93</v>
      </c>
      <c r="G123" s="800">
        <v>52</v>
      </c>
      <c r="H123" s="900">
        <f>+IF(J123=0,"NA",ROUND((F123-J123)/J123,3))</f>
        <v>0.127</v>
      </c>
      <c r="I123" s="800">
        <v>40</v>
      </c>
      <c r="J123" s="801">
        <v>17.690000000000001</v>
      </c>
      <c r="K123" s="800">
        <v>52</v>
      </c>
      <c r="L123" s="399">
        <f>IF(M123=0,0,(+K123-M123)/M123)</f>
        <v>1.9988465974625143</v>
      </c>
      <c r="M123" s="802">
        <v>17.34</v>
      </c>
      <c r="N123" s="802">
        <v>17</v>
      </c>
      <c r="O123" s="803"/>
      <c r="P123" s="804">
        <f>ROUND(E123*F123*G123,0)</f>
        <v>41454</v>
      </c>
      <c r="Q123" s="804">
        <f>ROUND(I123*J123*K123,0)</f>
        <v>36795</v>
      </c>
      <c r="R123" s="398">
        <f>+P123-Q123</f>
        <v>4659</v>
      </c>
      <c r="S123" s="399">
        <f>IF(Q123=0,"NA",(+P123-Q123)/Q123)</f>
        <v>0.12662046473705665</v>
      </c>
      <c r="T123" s="393"/>
      <c r="U123" s="397">
        <v>38158.839999999997</v>
      </c>
      <c r="V123" s="397">
        <v>36795</v>
      </c>
      <c r="W123" s="399">
        <f>IF(V123=0,"NA",(+U123-V123)/V123)</f>
        <v>3.7065905693708288E-2</v>
      </c>
      <c r="X123" s="540" t="s">
        <v>523</v>
      </c>
      <c r="Y123" s="805"/>
      <c r="Z123" s="393"/>
      <c r="AA123" s="393"/>
      <c r="AB123" s="393"/>
      <c r="AC123" s="393"/>
      <c r="AD123" s="393">
        <f>+$P123*AD$122</f>
        <v>12436.199999999999</v>
      </c>
      <c r="AE123" s="393">
        <f t="shared" ref="AE123:AG123" si="48">+$P123*AE$122</f>
        <v>12436.199999999999</v>
      </c>
      <c r="AF123" s="393">
        <f t="shared" si="48"/>
        <v>12436.199999999999</v>
      </c>
      <c r="AG123" s="393">
        <f t="shared" si="48"/>
        <v>4145.4000000000005</v>
      </c>
      <c r="AH123" s="393">
        <f t="shared" ref="AH123:AJ125" si="49">+$U123*AH$121</f>
        <v>12706.89372</v>
      </c>
      <c r="AI123" s="393">
        <f t="shared" si="49"/>
        <v>12706.89372</v>
      </c>
      <c r="AJ123" s="393">
        <f t="shared" si="49"/>
        <v>12745.05256</v>
      </c>
    </row>
    <row r="124" spans="1:37" x14ac:dyDescent="0.35">
      <c r="C124" s="228"/>
      <c r="D124" s="240"/>
      <c r="E124" s="561"/>
      <c r="F124" s="563"/>
      <c r="G124" s="561"/>
      <c r="H124" s="562"/>
      <c r="I124" s="561"/>
      <c r="J124" s="563"/>
      <c r="K124" s="561"/>
      <c r="L124" s="227"/>
      <c r="M124" s="564"/>
      <c r="N124" s="564"/>
      <c r="O124" s="282"/>
      <c r="P124" s="259"/>
      <c r="Q124" s="259"/>
      <c r="R124" s="226"/>
      <c r="S124" s="227"/>
      <c r="T124" s="228"/>
      <c r="U124" s="225"/>
      <c r="V124" s="225"/>
      <c r="W124" s="227"/>
      <c r="X124" s="229" t="s">
        <v>499</v>
      </c>
      <c r="Y124" s="68"/>
    </row>
    <row r="125" spans="1:37" x14ac:dyDescent="0.35">
      <c r="A125" s="42">
        <v>122</v>
      </c>
      <c r="C125" s="233" t="s">
        <v>321</v>
      </c>
      <c r="D125" s="243"/>
      <c r="E125" s="286"/>
      <c r="F125" s="290"/>
      <c r="G125" s="286"/>
      <c r="H125" s="291"/>
      <c r="I125" s="286"/>
      <c r="J125" s="287"/>
      <c r="K125" s="286"/>
      <c r="L125" s="232"/>
      <c r="M125" s="289"/>
      <c r="N125" s="289"/>
      <c r="O125" s="231"/>
      <c r="P125" s="251">
        <v>1000</v>
      </c>
      <c r="Q125" s="251">
        <v>1000</v>
      </c>
      <c r="R125" s="231">
        <f>+P125-Q125</f>
        <v>0</v>
      </c>
      <c r="S125" s="232">
        <f>IF(Q125=0,"NA",(+P125-Q125)/Q125)</f>
        <v>0</v>
      </c>
      <c r="T125" s="233"/>
      <c r="U125" s="230">
        <v>0</v>
      </c>
      <c r="V125" s="230">
        <v>1000</v>
      </c>
      <c r="W125" s="232">
        <f>IF(V125=0,"NA",(+U125-V125)/V125)</f>
        <v>-1</v>
      </c>
      <c r="X125" s="234" t="s">
        <v>289</v>
      </c>
      <c r="Y125" s="61" t="s">
        <v>116</v>
      </c>
      <c r="AD125" s="1">
        <f>+$P125*AD$121</f>
        <v>333</v>
      </c>
      <c r="AE125" s="1">
        <f>+$P125*AE$121</f>
        <v>333</v>
      </c>
      <c r="AF125" s="1">
        <f>+$P125*AF$121</f>
        <v>334</v>
      </c>
      <c r="AH125" s="1">
        <f t="shared" si="49"/>
        <v>0</v>
      </c>
      <c r="AI125" s="1">
        <f t="shared" si="49"/>
        <v>0</v>
      </c>
      <c r="AJ125" s="1">
        <f t="shared" si="49"/>
        <v>0</v>
      </c>
    </row>
    <row r="126" spans="1:37" ht="15.5" customHeight="1" x14ac:dyDescent="0.35">
      <c r="A126" s="42">
        <v>118</v>
      </c>
      <c r="C126" s="233" t="s">
        <v>50</v>
      </c>
      <c r="D126" s="243"/>
      <c r="E126" s="292">
        <v>25</v>
      </c>
      <c r="F126" s="290">
        <f>ROUND(+J126*(1+H126),2)</f>
        <v>13.78</v>
      </c>
      <c r="G126" s="286">
        <v>0</v>
      </c>
      <c r="H126" s="288">
        <f>+$F$79</f>
        <v>0</v>
      </c>
      <c r="I126" s="286">
        <v>25</v>
      </c>
      <c r="J126" s="287">
        <v>13.78</v>
      </c>
      <c r="K126" s="286">
        <v>52</v>
      </c>
      <c r="L126" s="232">
        <f>IF(M126=0,0,(+J126-M126)/M126)</f>
        <v>1.026392961876824E-2</v>
      </c>
      <c r="M126" s="287">
        <v>13.64</v>
      </c>
      <c r="N126" s="287">
        <v>13.64</v>
      </c>
      <c r="O126" s="287">
        <v>13.11</v>
      </c>
      <c r="P126" s="267">
        <f>ROUND((E126*F126*G126)+(E127*F127*G127)+(E128*F128*G128)+(E129*F129*G129),0)</f>
        <v>34778</v>
      </c>
      <c r="Q126" s="267">
        <f>ROUND((I126*J126*K126)+(I127*J127*K127)+(I128*J128*K128)+(I129*J129*K129),0)</f>
        <v>34323</v>
      </c>
      <c r="R126" s="231">
        <f t="shared" ref="R126:R136" si="50">+P126-Q126</f>
        <v>455</v>
      </c>
      <c r="S126" s="232">
        <f t="shared" ref="S126:S138" si="51">IF(Q126=0,"NA",(+P126-Q126)/Q126)</f>
        <v>1.3256416979867727E-2</v>
      </c>
      <c r="T126" s="233"/>
      <c r="U126" s="251">
        <v>22495.25</v>
      </c>
      <c r="V126" s="230">
        <v>34323</v>
      </c>
      <c r="W126" s="232">
        <f t="shared" ref="W126:W138" si="52">IF(V126=0,"NA",(+U126-V126)/V126)</f>
        <v>-0.3446012877662209</v>
      </c>
      <c r="X126" s="885" t="s">
        <v>521</v>
      </c>
      <c r="Y126" s="57" t="s">
        <v>118</v>
      </c>
      <c r="AG126" s="1">
        <f>+$P126</f>
        <v>34778</v>
      </c>
      <c r="AK126" s="1">
        <f>+$U126</f>
        <v>22495.25</v>
      </c>
    </row>
    <row r="127" spans="1:37" ht="29" x14ac:dyDescent="0.35">
      <c r="C127" s="233"/>
      <c r="D127" s="243"/>
      <c r="E127" s="292">
        <v>20</v>
      </c>
      <c r="F127" s="806">
        <f>ROUND(+J127*(1+0.025),2)</f>
        <v>11.86</v>
      </c>
      <c r="G127" s="286">
        <v>52</v>
      </c>
      <c r="H127" s="893">
        <f>+IF(J127=0,"NA",ROUND((F127-J127)/J127,3))</f>
        <v>2.5000000000000001E-2</v>
      </c>
      <c r="I127" s="286">
        <v>20</v>
      </c>
      <c r="J127" s="287">
        <v>11.57</v>
      </c>
      <c r="K127" s="286">
        <v>52</v>
      </c>
      <c r="L127" s="232">
        <f>IF(M127=0,0,(+J127-M127)/M127)</f>
        <v>0</v>
      </c>
      <c r="M127" s="287">
        <v>11.57</v>
      </c>
      <c r="N127" s="287">
        <v>13.64</v>
      </c>
      <c r="O127" s="287">
        <v>11.12</v>
      </c>
      <c r="P127" s="267"/>
      <c r="Q127" s="267"/>
      <c r="R127" s="231"/>
      <c r="S127" s="232"/>
      <c r="T127" s="233"/>
      <c r="U127" s="251"/>
      <c r="V127" s="230"/>
      <c r="W127" s="232"/>
      <c r="X127" s="234" t="str">
        <f>"Rebecca Arreola:  "&amp;Bud_Yr&amp;":  avg "&amp;E127&amp;" hrs/week at $"&amp;F127&amp;"/hr ("&amp;ROUND(H127*100,1)&amp;"% incr.) for "&amp;G127&amp;" weeks.                                    "&amp;Bud_Yr-1&amp;":  avg "&amp;I127&amp;" hrs/week at $"&amp;J127&amp;"/hr ("&amp;ROUND(L127*100,1)&amp;"% incr.) for "&amp;K127&amp;" weeks.   "&amp;Bud_Yr-2&amp;":  $"&amp;M127&amp;"/hour."</f>
        <v>Rebecca Arreola:  2022:  avg 20 hrs/week at $11.86/hr (2.5% incr.) for 52 weeks.                                    2021:  avg 20 hrs/week at $11.57/hr (0% incr.) for 52 weeks.   2020:  $11.57/hour.</v>
      </c>
      <c r="Y127" s="57"/>
      <c r="AA127" s="74"/>
    </row>
    <row r="128" spans="1:37" ht="42.5" customHeight="1" x14ac:dyDescent="0.35">
      <c r="C128" s="233"/>
      <c r="D128" s="243"/>
      <c r="E128" s="292">
        <v>20</v>
      </c>
      <c r="F128" s="857">
        <f>ROUND(13*(1+0.025),2)</f>
        <v>13.33</v>
      </c>
      <c r="G128" s="286">
        <v>52</v>
      </c>
      <c r="H128" s="893">
        <f>+IF(J128=0,"NA",ROUND((F128-J128)/J128,3))</f>
        <v>0.188</v>
      </c>
      <c r="I128" s="292">
        <v>7.5</v>
      </c>
      <c r="J128" s="287">
        <v>11.22</v>
      </c>
      <c r="K128" s="286">
        <v>52</v>
      </c>
      <c r="L128" s="232">
        <f>IF(M128=0,0,(+J128-M128)/M128)</f>
        <v>0</v>
      </c>
      <c r="M128" s="287">
        <v>11.22</v>
      </c>
      <c r="N128" s="287">
        <v>11.22</v>
      </c>
      <c r="O128" s="287">
        <v>11.25</v>
      </c>
      <c r="P128" s="267"/>
      <c r="Q128" s="267"/>
      <c r="R128" s="231"/>
      <c r="S128" s="232"/>
      <c r="T128" s="233"/>
      <c r="U128" s="251"/>
      <c r="V128" s="230"/>
      <c r="W128" s="232"/>
      <c r="X128" s="234" t="str">
        <f>"Glenn Napier took on Lead responsibilities and received a raise in 2021.  No increrase for 2022: "&amp;Bud_Yr&amp;":  avg "&amp;E128&amp;" hrs/week at $"&amp;F128&amp;"/hr ("&amp;ROUND(H128*100,1)&amp;"% incr.) for "&amp;G128&amp;" weeks. "&amp;Bud_Yr-1&amp;":  avg "&amp;I128&amp;" hrs/week at $"&amp;J128&amp;"/hr ("&amp;ROUND(L128*100,1)&amp;"% incr.) for "&amp;K128&amp;" weeks.   "&amp;Bud_Yr-2&amp;":  $"&amp;M128&amp;"/hour."</f>
        <v>Glenn Napier took on Lead responsibilities and received a raise in 2021.  No increrase for 2022: 2022:  avg 20 hrs/week at $13.33/hr (18.8% incr.) for 52 weeks. 2021:  avg 7.5 hrs/week at $11.22/hr (0% incr.) for 52 weeks.   2020:  $11.22/hour.</v>
      </c>
      <c r="Y128" s="57"/>
      <c r="AA128" s="74"/>
    </row>
    <row r="129" spans="1:37" ht="42.5" customHeight="1" x14ac:dyDescent="0.35">
      <c r="C129" s="233"/>
      <c r="D129" s="243"/>
      <c r="E129" s="292">
        <v>15</v>
      </c>
      <c r="F129" s="806">
        <v>11</v>
      </c>
      <c r="G129" s="286">
        <v>52</v>
      </c>
      <c r="H129" s="893" t="str">
        <f>+IF(J129=0,"NA",ROUND((F129-J129)/J129,3))</f>
        <v>NA</v>
      </c>
      <c r="I129" s="292">
        <v>0</v>
      </c>
      <c r="J129" s="287">
        <v>0</v>
      </c>
      <c r="K129" s="286">
        <v>0</v>
      </c>
      <c r="L129" s="232">
        <f>IF(M129=0,0,(+J129-M129)/M129)</f>
        <v>0</v>
      </c>
      <c r="M129" s="287">
        <v>0</v>
      </c>
      <c r="N129" s="287">
        <v>0</v>
      </c>
      <c r="O129" s="287">
        <v>0</v>
      </c>
      <c r="P129" s="267"/>
      <c r="Q129" s="267"/>
      <c r="R129" s="231"/>
      <c r="S129" s="232"/>
      <c r="T129" s="233"/>
      <c r="U129" s="251"/>
      <c r="V129" s="230"/>
      <c r="W129" s="232"/>
      <c r="X129" s="234" t="str">
        <f>"Additional help to support and back up Glenn "&amp;Bud_Yr&amp;":  avg "&amp;E129&amp;" hrs/week at $"&amp;F129&amp;"/hr for "&amp;G129&amp;" weeks. "</f>
        <v xml:space="preserve">Additional help to support and back up Glenn 2022:  avg 15 hrs/week at $11/hr for 52 weeks. </v>
      </c>
      <c r="Y129" s="57"/>
      <c r="AA129" s="74"/>
    </row>
    <row r="130" spans="1:37" x14ac:dyDescent="0.35">
      <c r="A130" s="42">
        <v>119</v>
      </c>
      <c r="C130" s="233" t="s">
        <v>51</v>
      </c>
      <c r="D130" s="243"/>
      <c r="E130" s="244"/>
      <c r="F130" s="245"/>
      <c r="G130" s="245"/>
      <c r="H130" s="245"/>
      <c r="I130" s="245"/>
      <c r="J130" s="245"/>
      <c r="K130" s="245"/>
      <c r="L130" s="245"/>
      <c r="M130" s="245"/>
      <c r="N130" s="245"/>
      <c r="O130" s="233"/>
      <c r="P130" s="251">
        <v>400</v>
      </c>
      <c r="Q130" s="230">
        <v>400</v>
      </c>
      <c r="R130" s="231">
        <f t="shared" si="50"/>
        <v>0</v>
      </c>
      <c r="S130" s="232">
        <f t="shared" si="51"/>
        <v>0</v>
      </c>
      <c r="T130" s="233"/>
      <c r="U130" s="251">
        <v>64.599999999999994</v>
      </c>
      <c r="V130" s="230">
        <v>400</v>
      </c>
      <c r="W130" s="232">
        <f t="shared" si="52"/>
        <v>-0.83849999999999991</v>
      </c>
      <c r="X130" s="234"/>
      <c r="Y130" s="61"/>
      <c r="AD130" s="1">
        <f t="shared" ref="AD130:AF131" si="53">+$P130*AD$121</f>
        <v>133.20000000000002</v>
      </c>
      <c r="AE130" s="1">
        <f t="shared" si="53"/>
        <v>133.20000000000002</v>
      </c>
      <c r="AF130" s="1">
        <f t="shared" si="53"/>
        <v>133.6</v>
      </c>
      <c r="AH130" s="1">
        <f t="shared" ref="AH130:AJ131" si="54">+$U130*AH$121</f>
        <v>21.511800000000001</v>
      </c>
      <c r="AI130" s="1">
        <f t="shared" si="54"/>
        <v>21.511800000000001</v>
      </c>
      <c r="AJ130" s="1">
        <f t="shared" si="54"/>
        <v>21.5764</v>
      </c>
    </row>
    <row r="131" spans="1:37" x14ac:dyDescent="0.35">
      <c r="A131" s="42">
        <v>120</v>
      </c>
      <c r="C131" s="233" t="s">
        <v>95</v>
      </c>
      <c r="D131" s="243"/>
      <c r="E131" s="244"/>
      <c r="F131" s="245"/>
      <c r="G131" s="245"/>
      <c r="H131" s="245"/>
      <c r="I131" s="245"/>
      <c r="J131" s="245"/>
      <c r="K131" s="245"/>
      <c r="L131" s="245"/>
      <c r="M131" s="245"/>
      <c r="N131" s="245"/>
      <c r="O131" s="233"/>
      <c r="P131" s="251">
        <f>700</f>
        <v>700</v>
      </c>
      <c r="Q131" s="230">
        <v>700</v>
      </c>
      <c r="R131" s="231">
        <f t="shared" si="50"/>
        <v>0</v>
      </c>
      <c r="S131" s="232">
        <f t="shared" si="51"/>
        <v>0</v>
      </c>
      <c r="T131" s="233"/>
      <c r="U131" s="230">
        <v>700</v>
      </c>
      <c r="V131" s="230">
        <v>700</v>
      </c>
      <c r="W131" s="232">
        <f t="shared" si="52"/>
        <v>0</v>
      </c>
      <c r="X131" s="234" t="s">
        <v>504</v>
      </c>
      <c r="Y131" s="61"/>
      <c r="Z131" s="2"/>
      <c r="AD131" s="1">
        <f t="shared" si="53"/>
        <v>233.10000000000002</v>
      </c>
      <c r="AE131" s="1">
        <f t="shared" si="53"/>
        <v>233.10000000000002</v>
      </c>
      <c r="AF131" s="1">
        <f t="shared" si="53"/>
        <v>233.8</v>
      </c>
      <c r="AH131" s="1">
        <f t="shared" si="54"/>
        <v>233.10000000000002</v>
      </c>
      <c r="AI131" s="1">
        <f t="shared" si="54"/>
        <v>233.10000000000002</v>
      </c>
      <c r="AJ131" s="1">
        <f t="shared" si="54"/>
        <v>233.8</v>
      </c>
    </row>
    <row r="132" spans="1:37" ht="14" customHeight="1" x14ac:dyDescent="0.35">
      <c r="C132" s="233" t="s">
        <v>111</v>
      </c>
      <c r="D132" s="243"/>
      <c r="E132" s="244"/>
      <c r="F132" s="245"/>
      <c r="G132" s="245"/>
      <c r="H132" s="293"/>
      <c r="I132" s="293"/>
      <c r="J132" s="293"/>
      <c r="K132" s="293"/>
      <c r="L132" s="293"/>
      <c r="M132" s="293"/>
      <c r="N132" s="293"/>
      <c r="O132" s="294"/>
      <c r="P132" s="267">
        <f>+'Band and Other Music'!E59</f>
        <v>925</v>
      </c>
      <c r="Q132" s="230">
        <v>925</v>
      </c>
      <c r="R132" s="231">
        <f t="shared" si="50"/>
        <v>0</v>
      </c>
      <c r="S132" s="232">
        <f>IF(Q132=0,"NA",(+P132-Q132)/Q132)</f>
        <v>0</v>
      </c>
      <c r="T132" s="233"/>
      <c r="U132" s="251">
        <v>500</v>
      </c>
      <c r="V132" s="230">
        <v>925</v>
      </c>
      <c r="W132" s="232">
        <f>IF(V132=0,"NA",(+U132-V132)/V132)</f>
        <v>-0.45945945945945948</v>
      </c>
      <c r="X132" s="234" t="s">
        <v>314</v>
      </c>
      <c r="Y132" s="57" t="s">
        <v>128</v>
      </c>
      <c r="AD132" s="1">
        <f t="shared" ref="AD132" si="55">+$P132</f>
        <v>925</v>
      </c>
      <c r="AH132" s="1">
        <f t="shared" ref="AH132" si="56">+$U132</f>
        <v>500</v>
      </c>
    </row>
    <row r="133" spans="1:37" ht="16.5" customHeight="1" x14ac:dyDescent="0.35">
      <c r="C133" s="930" t="s">
        <v>333</v>
      </c>
      <c r="D133" s="930"/>
      <c r="E133" s="286">
        <v>15</v>
      </c>
      <c r="F133" s="773">
        <f>ROUND(+J133*(1+0),2)</f>
        <v>14.57</v>
      </c>
      <c r="G133" s="286">
        <v>0</v>
      </c>
      <c r="H133" s="288">
        <f>+$F$79</f>
        <v>0</v>
      </c>
      <c r="I133" s="286">
        <v>15</v>
      </c>
      <c r="J133" s="287">
        <v>14.57</v>
      </c>
      <c r="K133" s="286">
        <v>52</v>
      </c>
      <c r="L133" s="232">
        <f>IF(M133=0,0,(+J133-M133)/M133)</f>
        <v>0</v>
      </c>
      <c r="M133" s="287">
        <v>14.57</v>
      </c>
      <c r="N133" s="287">
        <v>14.28</v>
      </c>
      <c r="O133" s="287">
        <v>14</v>
      </c>
      <c r="P133" s="809">
        <v>0</v>
      </c>
      <c r="Q133" s="267">
        <f>ROUND(+I133*J133*K133,0)</f>
        <v>11365</v>
      </c>
      <c r="R133" s="231">
        <f>+P133-Q133</f>
        <v>-11365</v>
      </c>
      <c r="S133" s="232">
        <f>IF(Q133=0,"NA",(+P133-Q133)/Q133)</f>
        <v>-1</v>
      </c>
      <c r="T133" s="233"/>
      <c r="U133" s="251">
        <v>4817.57</v>
      </c>
      <c r="V133" s="230">
        <v>11365</v>
      </c>
      <c r="W133" s="232">
        <f>IF(V133=0,"NA",(+U133-V133)/V133)</f>
        <v>-0.57610470743510778</v>
      </c>
      <c r="X133" s="277" t="s">
        <v>522</v>
      </c>
      <c r="Y133" s="58"/>
      <c r="Z133" s="38"/>
      <c r="AD133" s="1">
        <f t="shared" ref="AD133:AF135" si="57">+$P133*AD$121</f>
        <v>0</v>
      </c>
      <c r="AE133" s="1">
        <f t="shared" si="57"/>
        <v>0</v>
      </c>
      <c r="AF133" s="1">
        <f t="shared" si="57"/>
        <v>0</v>
      </c>
      <c r="AH133" s="1">
        <f t="shared" ref="AH133:AJ135" si="58">+$U133*AH$121</f>
        <v>1604.25081</v>
      </c>
      <c r="AI133" s="1">
        <f t="shared" si="58"/>
        <v>1604.25081</v>
      </c>
      <c r="AJ133" s="1">
        <f t="shared" si="58"/>
        <v>1609.0683799999999</v>
      </c>
    </row>
    <row r="134" spans="1:37" ht="14.5" customHeight="1" x14ac:dyDescent="0.35">
      <c r="A134" s="42">
        <v>123</v>
      </c>
      <c r="C134" s="233" t="s">
        <v>52</v>
      </c>
      <c r="D134" s="243"/>
      <c r="E134" s="296"/>
      <c r="F134" s="434"/>
      <c r="G134" s="296"/>
      <c r="H134" s="296"/>
      <c r="I134" s="296"/>
      <c r="J134" s="297"/>
      <c r="K134" s="298"/>
      <c r="L134" s="298"/>
      <c r="M134" s="299">
        <v>7.6499999999999999E-2</v>
      </c>
      <c r="N134" s="299"/>
      <c r="O134" s="233"/>
      <c r="P134" s="251">
        <f>ROUND((+P106+P121+P123+P125+P126+P132+P133+P136)*$M134,0)</f>
        <v>9778</v>
      </c>
      <c r="Q134" s="251">
        <f>ROUND((+Q106+Q121+Q123+Q125+Q126+Q132+Q133+Q136)*$M134,0)-2</f>
        <v>10613</v>
      </c>
      <c r="R134" s="231">
        <f t="shared" si="50"/>
        <v>-835</v>
      </c>
      <c r="S134" s="232">
        <f t="shared" si="51"/>
        <v>-7.8677094129840766E-2</v>
      </c>
      <c r="T134" s="233"/>
      <c r="U134" s="251">
        <v>6611.95</v>
      </c>
      <c r="V134" s="251">
        <v>10613</v>
      </c>
      <c r="W134" s="232">
        <f t="shared" si="52"/>
        <v>-0.37699519457269387</v>
      </c>
      <c r="X134" s="284" t="s">
        <v>299</v>
      </c>
      <c r="Y134" s="61" t="s">
        <v>129</v>
      </c>
      <c r="Z134" s="45"/>
      <c r="AD134" s="1">
        <f t="shared" si="57"/>
        <v>3256.0740000000001</v>
      </c>
      <c r="AE134" s="1">
        <f t="shared" si="57"/>
        <v>3256.0740000000001</v>
      </c>
      <c r="AF134" s="1">
        <f t="shared" si="57"/>
        <v>3265.8520000000003</v>
      </c>
      <c r="AH134" s="1">
        <f t="shared" si="58"/>
        <v>2201.7793500000002</v>
      </c>
      <c r="AI134" s="1">
        <f t="shared" si="58"/>
        <v>2201.7793500000002</v>
      </c>
      <c r="AJ134" s="1">
        <f t="shared" si="58"/>
        <v>2208.3913000000002</v>
      </c>
    </row>
    <row r="135" spans="1:37" ht="14.4" customHeight="1" x14ac:dyDescent="0.35">
      <c r="A135" s="42">
        <v>124</v>
      </c>
      <c r="C135" s="233" t="s">
        <v>53</v>
      </c>
      <c r="D135" s="243"/>
      <c r="E135" s="244"/>
      <c r="F135" s="435"/>
      <c r="G135" s="435"/>
      <c r="H135" s="435"/>
      <c r="I135" s="245"/>
      <c r="J135" s="245"/>
      <c r="K135" s="245"/>
      <c r="L135" s="245"/>
      <c r="M135" s="245"/>
      <c r="N135" s="245"/>
      <c r="O135" s="233"/>
      <c r="P135" s="251">
        <v>3400</v>
      </c>
      <c r="Q135" s="251">
        <v>3650</v>
      </c>
      <c r="R135" s="231">
        <f t="shared" si="50"/>
        <v>-250</v>
      </c>
      <c r="S135" s="232">
        <f t="shared" si="51"/>
        <v>-6.8493150684931503E-2</v>
      </c>
      <c r="T135" s="233"/>
      <c r="U135" s="251">
        <v>2584</v>
      </c>
      <c r="V135" s="251">
        <v>3650</v>
      </c>
      <c r="W135" s="232">
        <f t="shared" si="52"/>
        <v>-0.29205479452054794</v>
      </c>
      <c r="X135" s="799" t="s">
        <v>564</v>
      </c>
      <c r="Y135" s="61" t="s">
        <v>130</v>
      </c>
      <c r="Z135" s="45"/>
      <c r="AD135" s="1">
        <f t="shared" si="57"/>
        <v>1132.2</v>
      </c>
      <c r="AE135" s="1">
        <f t="shared" si="57"/>
        <v>1132.2</v>
      </c>
      <c r="AF135" s="1">
        <f t="shared" si="57"/>
        <v>1135.6000000000001</v>
      </c>
      <c r="AH135" s="1">
        <f t="shared" si="58"/>
        <v>860.47200000000009</v>
      </c>
      <c r="AI135" s="1">
        <f t="shared" si="58"/>
        <v>860.47200000000009</v>
      </c>
      <c r="AJ135" s="1">
        <f t="shared" si="58"/>
        <v>863.05600000000004</v>
      </c>
    </row>
    <row r="136" spans="1:37" x14ac:dyDescent="0.35">
      <c r="A136" s="42">
        <v>125</v>
      </c>
      <c r="C136" s="233" t="s">
        <v>54</v>
      </c>
      <c r="D136" s="243"/>
      <c r="P136" s="53">
        <f>1500-1000</f>
        <v>500</v>
      </c>
      <c r="Q136" s="51">
        <v>1500</v>
      </c>
      <c r="R136" s="37">
        <f t="shared" si="50"/>
        <v>-1000</v>
      </c>
      <c r="S136" s="3">
        <f t="shared" si="51"/>
        <v>-0.66666666666666663</v>
      </c>
      <c r="U136" s="53">
        <v>0</v>
      </c>
      <c r="V136" s="53">
        <v>1500</v>
      </c>
      <c r="W136" s="3">
        <f t="shared" si="52"/>
        <v>-1</v>
      </c>
      <c r="X136" s="899" t="s">
        <v>601</v>
      </c>
      <c r="Y136" s="57"/>
      <c r="AD136" s="1">
        <f t="shared" ref="AD136" si="59">+$P136</f>
        <v>500</v>
      </c>
      <c r="AH136" s="1">
        <f t="shared" ref="AH136" si="60">+$U136</f>
        <v>0</v>
      </c>
    </row>
    <row r="137" spans="1:37" s="2" customFormat="1" x14ac:dyDescent="0.35">
      <c r="A137" s="42">
        <v>127</v>
      </c>
      <c r="B137" s="23" t="s">
        <v>49</v>
      </c>
      <c r="C137" s="23"/>
      <c r="D137" s="23"/>
      <c r="E137" s="85"/>
      <c r="F137" s="85"/>
      <c r="G137" s="85"/>
      <c r="H137" s="85"/>
      <c r="I137" s="85"/>
      <c r="J137" s="85"/>
      <c r="K137" s="85"/>
      <c r="L137" s="85"/>
      <c r="M137" s="85"/>
      <c r="N137" s="85"/>
      <c r="O137" s="23"/>
      <c r="P137" s="23">
        <f>SUM(P123:P136)</f>
        <v>92935</v>
      </c>
      <c r="Q137" s="23">
        <f>SUM(Q123:Q136)</f>
        <v>101271</v>
      </c>
      <c r="R137" s="23">
        <f>SUM(R123:R136)</f>
        <v>-8336</v>
      </c>
      <c r="S137" s="24">
        <f t="shared" si="51"/>
        <v>-8.2313791707398956E-2</v>
      </c>
      <c r="U137" s="23">
        <f>SUM(U123:U136)</f>
        <v>75932.209999999992</v>
      </c>
      <c r="V137" s="23">
        <f>SUM(V123:V136)</f>
        <v>101271</v>
      </c>
      <c r="W137" s="24">
        <f t="shared" si="52"/>
        <v>-0.25020775937830186</v>
      </c>
      <c r="X137" s="71"/>
      <c r="Y137" s="60"/>
      <c r="Z137" s="25"/>
    </row>
    <row r="138" spans="1:37" x14ac:dyDescent="0.35">
      <c r="A138" s="42">
        <v>128</v>
      </c>
      <c r="B138" s="23" t="s">
        <v>55</v>
      </c>
      <c r="C138" s="23"/>
      <c r="D138" s="23"/>
      <c r="E138" s="85"/>
      <c r="F138" s="24"/>
      <c r="G138" s="24"/>
      <c r="H138" s="24"/>
      <c r="I138" s="24"/>
      <c r="J138" s="24"/>
      <c r="K138" s="24"/>
      <c r="L138" s="24"/>
      <c r="M138" s="24"/>
      <c r="N138" s="24"/>
      <c r="O138" s="33"/>
      <c r="P138" s="23">
        <f>+P92+P104+P107+P121+P137</f>
        <v>340121</v>
      </c>
      <c r="Q138" s="23">
        <f>+Q92+Q104+Q107+Q121+Q137</f>
        <v>342612</v>
      </c>
      <c r="R138" s="23">
        <f>+R92+R104+R107+R121+R137</f>
        <v>-2491</v>
      </c>
      <c r="S138" s="24">
        <f t="shared" si="51"/>
        <v>-7.2706151565035664E-3</v>
      </c>
      <c r="U138" s="23">
        <f>+U92+U104+U107+U121+U137</f>
        <v>287963.73</v>
      </c>
      <c r="V138" s="23">
        <f>+V92+V104+V107+V121+V137</f>
        <v>342612</v>
      </c>
      <c r="W138" s="24">
        <f t="shared" si="52"/>
        <v>-0.15950483345592104</v>
      </c>
      <c r="X138" s="70"/>
      <c r="Y138" s="58"/>
      <c r="Z138" s="25"/>
    </row>
    <row r="139" spans="1:37" ht="23" customHeight="1" x14ac:dyDescent="0.35">
      <c r="A139" s="42">
        <v>130</v>
      </c>
      <c r="B139" s="6" t="s">
        <v>56</v>
      </c>
      <c r="S139" s="4"/>
      <c r="X139" s="70"/>
      <c r="Y139" s="58"/>
    </row>
    <row r="140" spans="1:37" ht="19.5" customHeight="1" x14ac:dyDescent="0.35">
      <c r="A140" s="42">
        <v>131</v>
      </c>
      <c r="B140" s="881" t="s">
        <v>57</v>
      </c>
      <c r="S140" s="4"/>
      <c r="X140" s="70"/>
      <c r="Y140" s="58"/>
    </row>
    <row r="141" spans="1:37" ht="14.5" customHeight="1" x14ac:dyDescent="0.35">
      <c r="A141" s="42">
        <v>132</v>
      </c>
      <c r="C141" s="393" t="s">
        <v>59</v>
      </c>
      <c r="D141" s="394"/>
      <c r="E141" s="395"/>
      <c r="F141" s="396"/>
      <c r="G141" s="396"/>
      <c r="H141" s="396"/>
      <c r="I141" s="396"/>
      <c r="J141" s="396"/>
      <c r="K141" s="396"/>
      <c r="L141" s="396"/>
      <c r="M141" s="396"/>
      <c r="N141" s="396"/>
      <c r="O141" s="393"/>
      <c r="P141" s="401">
        <v>11000</v>
      </c>
      <c r="Q141" s="401">
        <v>12000</v>
      </c>
      <c r="R141" s="398">
        <f t="shared" ref="R141:R146" si="61">+P141-Q141</f>
        <v>-1000</v>
      </c>
      <c r="S141" s="399">
        <f t="shared" ref="S141:S147" si="62">IF(Q141=0,"NA",(+P141-Q141)/Q141)</f>
        <v>-8.3333333333333329E-2</v>
      </c>
      <c r="T141" s="393"/>
      <c r="U141" s="397">
        <v>10053.19</v>
      </c>
      <c r="V141" s="397">
        <v>12000</v>
      </c>
      <c r="W141" s="399">
        <f t="shared" ref="W141:W147" si="63">IF(V141=0,"NA",(+U141-V141)/V141)</f>
        <v>-0.16223416666666662</v>
      </c>
      <c r="X141" s="799" t="s">
        <v>505</v>
      </c>
      <c r="Y141" s="57" t="s">
        <v>131</v>
      </c>
      <c r="AG141" s="1">
        <f t="shared" ref="AG141:AG146" si="64">+$P141</f>
        <v>11000</v>
      </c>
      <c r="AK141" s="1">
        <f t="shared" ref="AK141:AK146" si="65">+$U141</f>
        <v>10053.19</v>
      </c>
    </row>
    <row r="142" spans="1:37" ht="14.5" customHeight="1" x14ac:dyDescent="0.35">
      <c r="A142" s="42">
        <v>133</v>
      </c>
      <c r="C142" s="233" t="s">
        <v>60</v>
      </c>
      <c r="D142" s="243"/>
      <c r="E142" s="241"/>
      <c r="F142" s="242"/>
      <c r="G142" s="242"/>
      <c r="H142" s="242"/>
      <c r="I142" s="242"/>
      <c r="J142" s="242"/>
      <c r="K142" s="242"/>
      <c r="L142" s="242"/>
      <c r="M142" s="242"/>
      <c r="N142" s="242"/>
      <c r="O142" s="228"/>
      <c r="P142" s="251">
        <v>8400</v>
      </c>
      <c r="Q142" s="251">
        <v>10000</v>
      </c>
      <c r="R142" s="231">
        <f t="shared" si="61"/>
        <v>-1600</v>
      </c>
      <c r="S142" s="232">
        <f t="shared" si="62"/>
        <v>-0.16</v>
      </c>
      <c r="T142" s="233"/>
      <c r="U142" s="230">
        <v>8400</v>
      </c>
      <c r="V142" s="230">
        <v>10000</v>
      </c>
      <c r="W142" s="232">
        <f t="shared" si="63"/>
        <v>-0.16</v>
      </c>
      <c r="X142" s="540" t="s">
        <v>510</v>
      </c>
      <c r="Y142" s="65" t="s">
        <v>134</v>
      </c>
      <c r="AG142" s="1">
        <f t="shared" si="64"/>
        <v>8400</v>
      </c>
      <c r="AK142" s="1">
        <f t="shared" si="65"/>
        <v>8400</v>
      </c>
    </row>
    <row r="143" spans="1:37" x14ac:dyDescent="0.35">
      <c r="A143" s="42">
        <v>134</v>
      </c>
      <c r="C143" s="393" t="s">
        <v>291</v>
      </c>
      <c r="D143" s="394"/>
      <c r="E143" s="395"/>
      <c r="F143" s="396"/>
      <c r="G143" s="396"/>
      <c r="H143" s="396"/>
      <c r="I143" s="396"/>
      <c r="J143" s="396"/>
      <c r="K143" s="396"/>
      <c r="L143" s="396"/>
      <c r="M143" s="396"/>
      <c r="N143" s="396"/>
      <c r="O143" s="407"/>
      <c r="P143" s="397">
        <v>4800</v>
      </c>
      <c r="Q143" s="397">
        <v>4400</v>
      </c>
      <c r="R143" s="398">
        <f t="shared" si="61"/>
        <v>400</v>
      </c>
      <c r="S143" s="399">
        <f t="shared" si="62"/>
        <v>9.0909090909090912E-2</v>
      </c>
      <c r="T143" s="393"/>
      <c r="U143" s="397">
        <v>4754.82</v>
      </c>
      <c r="V143" s="397">
        <v>4400</v>
      </c>
      <c r="W143" s="399">
        <f t="shared" si="63"/>
        <v>8.0640909090909027E-2</v>
      </c>
      <c r="X143" s="638" t="s">
        <v>505</v>
      </c>
      <c r="Y143" s="64"/>
      <c r="Z143" s="2"/>
      <c r="AG143" s="1">
        <f t="shared" si="64"/>
        <v>4800</v>
      </c>
      <c r="AK143" s="1">
        <f t="shared" si="65"/>
        <v>4754.82</v>
      </c>
    </row>
    <row r="144" spans="1:37" ht="14.5" customHeight="1" x14ac:dyDescent="0.35">
      <c r="A144" s="42">
        <v>135</v>
      </c>
      <c r="C144" s="238" t="s">
        <v>62</v>
      </c>
      <c r="D144" s="246"/>
      <c r="P144" s="235">
        <v>1800</v>
      </c>
      <c r="Q144" s="235">
        <v>1000</v>
      </c>
      <c r="R144" s="236">
        <f t="shared" si="61"/>
        <v>800</v>
      </c>
      <c r="S144" s="237">
        <f t="shared" si="62"/>
        <v>0.8</v>
      </c>
      <c r="T144" s="238"/>
      <c r="U144" s="235">
        <v>1201.98</v>
      </c>
      <c r="V144" s="235">
        <v>1000</v>
      </c>
      <c r="W144" s="237">
        <f t="shared" si="63"/>
        <v>0.20198000000000002</v>
      </c>
      <c r="X144" s="638" t="s">
        <v>518</v>
      </c>
      <c r="Y144" s="57"/>
      <c r="AG144" s="1">
        <f t="shared" si="64"/>
        <v>1800</v>
      </c>
      <c r="AK144" s="1">
        <f t="shared" si="65"/>
        <v>1201.98</v>
      </c>
    </row>
    <row r="145" spans="1:37" ht="14.5" customHeight="1" x14ac:dyDescent="0.35">
      <c r="A145" s="42">
        <v>136</v>
      </c>
      <c r="C145" s="238" t="s">
        <v>63</v>
      </c>
      <c r="D145" s="246"/>
      <c r="P145" s="235">
        <v>350</v>
      </c>
      <c r="Q145" s="252">
        <v>350</v>
      </c>
      <c r="R145" s="236">
        <f t="shared" si="61"/>
        <v>0</v>
      </c>
      <c r="S145" s="237">
        <f t="shared" si="62"/>
        <v>0</v>
      </c>
      <c r="T145" s="238"/>
      <c r="U145" s="235">
        <v>263.39999999999998</v>
      </c>
      <c r="V145" s="235">
        <v>350</v>
      </c>
      <c r="W145" s="237">
        <f t="shared" si="63"/>
        <v>-0.2474285714285715</v>
      </c>
      <c r="X145" s="540" t="s">
        <v>582</v>
      </c>
      <c r="Y145" s="65" t="s">
        <v>135</v>
      </c>
      <c r="AG145" s="1">
        <f t="shared" si="64"/>
        <v>350</v>
      </c>
      <c r="AK145" s="1">
        <f t="shared" si="65"/>
        <v>263.39999999999998</v>
      </c>
    </row>
    <row r="146" spans="1:37" x14ac:dyDescent="0.35">
      <c r="A146" s="42">
        <v>138</v>
      </c>
      <c r="B146" s="640"/>
      <c r="C146" s="238" t="s">
        <v>100</v>
      </c>
      <c r="D146" s="246"/>
      <c r="E146" s="395"/>
      <c r="F146" s="396"/>
      <c r="G146" s="396"/>
      <c r="H146" s="396"/>
      <c r="I146" s="396"/>
      <c r="J146" s="396"/>
      <c r="K146" s="396"/>
      <c r="L146" s="396"/>
      <c r="M146" s="396"/>
      <c r="N146" s="396"/>
      <c r="O146" s="393"/>
      <c r="P146" s="235">
        <v>6052</v>
      </c>
      <c r="Q146" s="235">
        <v>5200</v>
      </c>
      <c r="R146" s="236">
        <f t="shared" si="61"/>
        <v>852</v>
      </c>
      <c r="S146" s="237">
        <f t="shared" si="62"/>
        <v>0.16384615384615384</v>
      </c>
      <c r="T146" s="238"/>
      <c r="U146" s="235">
        <v>5922.54</v>
      </c>
      <c r="V146" s="235">
        <v>5200</v>
      </c>
      <c r="W146" s="237">
        <f t="shared" si="63"/>
        <v>0.13894999999999999</v>
      </c>
      <c r="X146" s="637" t="s">
        <v>519</v>
      </c>
      <c r="Y146" s="57"/>
      <c r="AG146" s="1">
        <f t="shared" si="64"/>
        <v>6052</v>
      </c>
      <c r="AK146" s="1">
        <f t="shared" si="65"/>
        <v>5922.54</v>
      </c>
    </row>
    <row r="147" spans="1:37" s="2" customFormat="1" x14ac:dyDescent="0.35">
      <c r="A147" s="42">
        <v>139</v>
      </c>
      <c r="B147" s="26" t="s">
        <v>65</v>
      </c>
      <c r="C147" s="26"/>
      <c r="D147" s="26"/>
      <c r="E147" s="86"/>
      <c r="F147" s="86"/>
      <c r="G147" s="86"/>
      <c r="H147" s="86"/>
      <c r="I147" s="86"/>
      <c r="J147" s="86"/>
      <c r="K147" s="86"/>
      <c r="L147" s="86"/>
      <c r="M147" s="86"/>
      <c r="N147" s="86"/>
      <c r="O147" s="26"/>
      <c r="P147" s="26">
        <f>SUM(P141:P146)</f>
        <v>32402</v>
      </c>
      <c r="Q147" s="26">
        <f>SUM(Q141:Q146)</f>
        <v>32950</v>
      </c>
      <c r="R147" s="26">
        <f>SUM(R141:R146)</f>
        <v>-548</v>
      </c>
      <c r="S147" s="27">
        <f t="shared" si="62"/>
        <v>-1.6631259484066768E-2</v>
      </c>
      <c r="U147" s="26">
        <f>SUM(U141:U146)</f>
        <v>30595.930000000004</v>
      </c>
      <c r="V147" s="26">
        <f>SUM(V141:V146)</f>
        <v>32950</v>
      </c>
      <c r="W147" s="27">
        <f t="shared" si="63"/>
        <v>-7.1443702579666035E-2</v>
      </c>
      <c r="X147" s="71"/>
      <c r="Y147" s="60"/>
      <c r="AK147" s="1"/>
    </row>
    <row r="148" spans="1:37" ht="19.5" customHeight="1" x14ac:dyDescent="0.35">
      <c r="A148" s="42">
        <v>141</v>
      </c>
      <c r="B148" s="881" t="s">
        <v>66</v>
      </c>
      <c r="S148" s="4"/>
      <c r="X148" s="70"/>
      <c r="Y148" s="58"/>
    </row>
    <row r="149" spans="1:37" ht="14" customHeight="1" x14ac:dyDescent="0.35">
      <c r="A149" s="42">
        <v>142</v>
      </c>
      <c r="C149" s="393" t="s">
        <v>67</v>
      </c>
      <c r="D149" s="394"/>
      <c r="E149" s="395"/>
      <c r="F149" s="396"/>
      <c r="G149" s="396"/>
      <c r="H149" s="396"/>
      <c r="I149" s="396"/>
      <c r="J149" s="396"/>
      <c r="K149" s="396"/>
      <c r="L149" s="396"/>
      <c r="M149" s="396"/>
      <c r="N149" s="396"/>
      <c r="O149" s="393"/>
      <c r="P149" s="401">
        <v>13400</v>
      </c>
      <c r="Q149" s="401">
        <v>12758</v>
      </c>
      <c r="R149" s="398">
        <f t="shared" ref="R149:R155" si="66">+P149-Q149</f>
        <v>642</v>
      </c>
      <c r="S149" s="399">
        <f t="shared" ref="S149:S157" si="67">IF(Q149=0,"NA",(+P149-Q149)/Q149)</f>
        <v>5.0321366985420911E-2</v>
      </c>
      <c r="T149" s="393"/>
      <c r="U149" s="397">
        <v>12918.25</v>
      </c>
      <c r="V149" s="397">
        <v>12758</v>
      </c>
      <c r="W149" s="399">
        <f t="shared" ref="W149:W157" si="68">IF(V149=0,"NA",(+U149-V149)/V149)</f>
        <v>1.2560746198463708E-2</v>
      </c>
      <c r="X149" s="540" t="s">
        <v>505</v>
      </c>
      <c r="Y149" s="57" t="s">
        <v>136</v>
      </c>
      <c r="AG149" s="1">
        <f t="shared" ref="AG149:AG154" si="69">+$P149</f>
        <v>13400</v>
      </c>
      <c r="AK149" s="1">
        <f t="shared" ref="AK149:AK154" si="70">+$U149</f>
        <v>12918.25</v>
      </c>
    </row>
    <row r="150" spans="1:37" x14ac:dyDescent="0.35">
      <c r="C150" s="228"/>
      <c r="D150" s="240"/>
      <c r="E150" s="241"/>
      <c r="F150" s="242"/>
      <c r="G150" s="242"/>
      <c r="H150" s="242"/>
      <c r="I150" s="242"/>
      <c r="J150" s="242"/>
      <c r="K150" s="242"/>
      <c r="L150" s="242"/>
      <c r="M150" s="242"/>
      <c r="N150" s="242"/>
      <c r="O150" s="228"/>
      <c r="P150" s="253"/>
      <c r="Q150" s="253"/>
      <c r="R150" s="226"/>
      <c r="S150" s="227"/>
      <c r="T150" s="228"/>
      <c r="U150" s="225"/>
      <c r="V150" s="225"/>
      <c r="W150" s="227"/>
      <c r="X150" s="229" t="s">
        <v>380</v>
      </c>
      <c r="Y150" s="57"/>
    </row>
    <row r="151" spans="1:37" x14ac:dyDescent="0.35">
      <c r="A151" s="42">
        <v>143</v>
      </c>
      <c r="C151" s="238" t="s">
        <v>68</v>
      </c>
      <c r="D151" s="246"/>
      <c r="E151" s="247"/>
      <c r="F151" s="248"/>
      <c r="G151" s="248"/>
      <c r="H151" s="248"/>
      <c r="I151" s="248"/>
      <c r="J151" s="248"/>
      <c r="K151" s="248"/>
      <c r="L151" s="248"/>
      <c r="M151" s="248"/>
      <c r="N151" s="248"/>
      <c r="O151" s="238"/>
      <c r="P151" s="235">
        <v>6000</v>
      </c>
      <c r="Q151" s="235">
        <v>5000</v>
      </c>
      <c r="R151" s="236">
        <f t="shared" si="66"/>
        <v>1000</v>
      </c>
      <c r="S151" s="237">
        <f t="shared" si="67"/>
        <v>0.2</v>
      </c>
      <c r="T151" s="238"/>
      <c r="U151" s="235">
        <v>4683.2</v>
      </c>
      <c r="V151" s="235">
        <v>5000</v>
      </c>
      <c r="W151" s="237">
        <f t="shared" si="68"/>
        <v>-6.3360000000000041E-2</v>
      </c>
      <c r="X151" s="638" t="s">
        <v>520</v>
      </c>
      <c r="Y151" s="57"/>
      <c r="AG151" s="1">
        <f t="shared" si="69"/>
        <v>6000</v>
      </c>
      <c r="AK151" s="1">
        <f t="shared" si="70"/>
        <v>4683.2</v>
      </c>
    </row>
    <row r="152" spans="1:37" x14ac:dyDescent="0.35">
      <c r="A152" s="42">
        <v>159</v>
      </c>
      <c r="C152" s="238" t="s">
        <v>93</v>
      </c>
      <c r="D152" s="246"/>
      <c r="E152" s="247"/>
      <c r="F152" s="248"/>
      <c r="G152" s="248"/>
      <c r="H152" s="248"/>
      <c r="I152" s="248"/>
      <c r="J152" s="248"/>
      <c r="K152" s="248"/>
      <c r="L152" s="248"/>
      <c r="M152" s="248"/>
      <c r="N152" s="248"/>
      <c r="O152" s="238"/>
      <c r="P152" s="235">
        <v>4500</v>
      </c>
      <c r="Q152" s="235">
        <v>4500</v>
      </c>
      <c r="R152" s="236">
        <f t="shared" si="66"/>
        <v>0</v>
      </c>
      <c r="S152" s="237">
        <f t="shared" si="67"/>
        <v>0</v>
      </c>
      <c r="T152" s="238"/>
      <c r="U152" s="235">
        <v>2648.28</v>
      </c>
      <c r="V152" s="235">
        <v>4500</v>
      </c>
      <c r="W152" s="237">
        <f t="shared" si="68"/>
        <v>-0.41149333333333327</v>
      </c>
      <c r="X152" s="638"/>
      <c r="Y152" s="57"/>
      <c r="AG152" s="1">
        <f t="shared" si="69"/>
        <v>4500</v>
      </c>
      <c r="AK152" s="1">
        <f t="shared" si="70"/>
        <v>2648.28</v>
      </c>
    </row>
    <row r="153" spans="1:37" x14ac:dyDescent="0.35">
      <c r="A153" s="42">
        <v>145</v>
      </c>
      <c r="C153" s="924" t="s">
        <v>96</v>
      </c>
      <c r="D153" s="924"/>
      <c r="E153" s="403"/>
      <c r="F153" s="403"/>
      <c r="G153" s="403"/>
      <c r="H153" s="403"/>
      <c r="I153" s="403"/>
      <c r="J153" s="403"/>
      <c r="K153" s="403"/>
      <c r="L153" s="403"/>
      <c r="M153" s="403"/>
      <c r="N153" s="403"/>
      <c r="O153" s="402"/>
      <c r="P153" s="252">
        <v>6000</v>
      </c>
      <c r="Q153" s="235">
        <v>6000</v>
      </c>
      <c r="R153" s="236">
        <f t="shared" si="66"/>
        <v>0</v>
      </c>
      <c r="S153" s="237">
        <f t="shared" si="67"/>
        <v>0</v>
      </c>
      <c r="T153" s="238"/>
      <c r="U153" s="235">
        <v>5481.02</v>
      </c>
      <c r="V153" s="235">
        <v>6000</v>
      </c>
      <c r="W153" s="237">
        <f t="shared" si="68"/>
        <v>-8.6496666666666597E-2</v>
      </c>
      <c r="X153" s="799"/>
      <c r="Y153" s="57"/>
      <c r="AG153" s="1">
        <f t="shared" si="69"/>
        <v>6000</v>
      </c>
      <c r="AK153" s="1">
        <f t="shared" si="70"/>
        <v>5481.02</v>
      </c>
    </row>
    <row r="154" spans="1:37" x14ac:dyDescent="0.35">
      <c r="A154" s="42">
        <v>146</v>
      </c>
      <c r="C154" s="238" t="s">
        <v>69</v>
      </c>
      <c r="D154" s="246"/>
      <c r="E154" s="247"/>
      <c r="F154" s="248"/>
      <c r="G154" s="248"/>
      <c r="H154" s="248"/>
      <c r="I154" s="248"/>
      <c r="J154" s="248"/>
      <c r="K154" s="248"/>
      <c r="L154" s="248"/>
      <c r="M154" s="248"/>
      <c r="N154" s="248"/>
      <c r="O154" s="238"/>
      <c r="P154" s="235">
        <v>10000</v>
      </c>
      <c r="Q154" s="235">
        <v>10000</v>
      </c>
      <c r="R154" s="236">
        <f t="shared" si="66"/>
        <v>0</v>
      </c>
      <c r="S154" s="237">
        <f t="shared" si="67"/>
        <v>0</v>
      </c>
      <c r="T154" s="238"/>
      <c r="U154" s="252">
        <v>4220.92</v>
      </c>
      <c r="V154" s="235">
        <v>10000</v>
      </c>
      <c r="W154" s="237">
        <f t="shared" si="68"/>
        <v>-0.57790799999999998</v>
      </c>
      <c r="X154" s="540"/>
      <c r="Y154" s="57"/>
      <c r="AG154" s="1">
        <f t="shared" si="69"/>
        <v>10000</v>
      </c>
      <c r="AK154" s="1">
        <f t="shared" si="70"/>
        <v>4220.92</v>
      </c>
    </row>
    <row r="155" spans="1:37" hidden="1" x14ac:dyDescent="0.35">
      <c r="A155" s="42">
        <v>149</v>
      </c>
      <c r="C155" s="1" t="s">
        <v>70</v>
      </c>
      <c r="P155" s="51">
        <v>0</v>
      </c>
      <c r="Q155" s="51">
        <v>0</v>
      </c>
      <c r="R155" s="37">
        <f t="shared" si="66"/>
        <v>0</v>
      </c>
      <c r="S155" s="3" t="str">
        <f t="shared" si="67"/>
        <v>NA</v>
      </c>
      <c r="U155" s="51">
        <v>0</v>
      </c>
      <c r="V155" s="51">
        <v>0</v>
      </c>
      <c r="W155" s="3" t="str">
        <f t="shared" si="68"/>
        <v>NA</v>
      </c>
      <c r="X155" s="71"/>
      <c r="Y155" s="61"/>
    </row>
    <row r="156" spans="1:37" s="2" customFormat="1" x14ac:dyDescent="0.35">
      <c r="A156" s="42">
        <v>150</v>
      </c>
      <c r="B156" s="26" t="s">
        <v>71</v>
      </c>
      <c r="C156" s="26"/>
      <c r="D156" s="26"/>
      <c r="E156" s="86"/>
      <c r="F156" s="86"/>
      <c r="G156" s="86"/>
      <c r="H156" s="86"/>
      <c r="I156" s="86"/>
      <c r="J156" s="86"/>
      <c r="K156" s="86"/>
      <c r="L156" s="86"/>
      <c r="M156" s="86"/>
      <c r="N156" s="86"/>
      <c r="O156" s="26"/>
      <c r="P156" s="26">
        <f>SUM(P149:P155)</f>
        <v>39900</v>
      </c>
      <c r="Q156" s="26">
        <f>SUM(Q149:Q155)</f>
        <v>38258</v>
      </c>
      <c r="R156" s="26">
        <f>SUM(R149:R155)</f>
        <v>1642</v>
      </c>
      <c r="S156" s="27">
        <f t="shared" si="67"/>
        <v>4.2919128025511004E-2</v>
      </c>
      <c r="U156" s="26">
        <f>SUM(U149:U155)</f>
        <v>29951.67</v>
      </c>
      <c r="V156" s="26">
        <f>SUM(V149:V155)</f>
        <v>38258</v>
      </c>
      <c r="W156" s="27">
        <f t="shared" si="68"/>
        <v>-0.21711354487950238</v>
      </c>
      <c r="X156" s="71"/>
      <c r="Y156" s="60"/>
      <c r="Z156" s="1"/>
    </row>
    <row r="157" spans="1:37" x14ac:dyDescent="0.35">
      <c r="A157" s="42">
        <v>151</v>
      </c>
      <c r="B157" s="26" t="s">
        <v>72</v>
      </c>
      <c r="C157" s="26"/>
      <c r="D157" s="26"/>
      <c r="E157" s="86"/>
      <c r="F157" s="86"/>
      <c r="G157" s="86"/>
      <c r="H157" s="86"/>
      <c r="I157" s="86"/>
      <c r="J157" s="86"/>
      <c r="K157" s="86"/>
      <c r="L157" s="86"/>
      <c r="M157" s="86"/>
      <c r="N157" s="86"/>
      <c r="O157" s="26"/>
      <c r="P157" s="26">
        <f>+P147+P156</f>
        <v>72302</v>
      </c>
      <c r="Q157" s="26">
        <f>+Q147+Q156</f>
        <v>71208</v>
      </c>
      <c r="R157" s="26">
        <f>+R147+R156</f>
        <v>1094</v>
      </c>
      <c r="S157" s="27">
        <f t="shared" si="67"/>
        <v>1.5363442309852825E-2</v>
      </c>
      <c r="U157" s="26">
        <f>+U147+U156</f>
        <v>60547.600000000006</v>
      </c>
      <c r="V157" s="26">
        <f>+V147+V156</f>
        <v>71208</v>
      </c>
      <c r="W157" s="27">
        <f t="shared" si="68"/>
        <v>-0.14970789798898992</v>
      </c>
      <c r="X157" s="70"/>
      <c r="Y157" s="58"/>
    </row>
    <row r="158" spans="1:37" ht="23" customHeight="1" x14ac:dyDescent="0.35">
      <c r="A158" s="42">
        <v>154</v>
      </c>
      <c r="B158" s="6" t="s">
        <v>74</v>
      </c>
      <c r="S158" s="4"/>
      <c r="X158" s="70"/>
      <c r="Y158" s="58"/>
    </row>
    <row r="159" spans="1:37" x14ac:dyDescent="0.35">
      <c r="C159" s="228" t="s">
        <v>75</v>
      </c>
      <c r="D159" s="240"/>
      <c r="E159" s="241"/>
      <c r="F159" s="242"/>
      <c r="G159" s="242"/>
      <c r="H159" s="242"/>
      <c r="I159" s="242"/>
      <c r="J159" s="242"/>
      <c r="K159" s="242"/>
      <c r="L159" s="242"/>
      <c r="M159" s="242"/>
      <c r="N159" s="242"/>
      <c r="O159" s="228"/>
      <c r="P159" s="253">
        <f>-13621-9636</f>
        <v>-23257</v>
      </c>
      <c r="Q159" s="253">
        <v>-8185</v>
      </c>
      <c r="R159" s="226">
        <f t="shared" ref="R159:R164" si="71">+P159-Q159</f>
        <v>-15072</v>
      </c>
      <c r="S159" s="227">
        <f t="shared" ref="S159:S165" si="72">IF(Q159=0,"NA",(+P159-Q159)/Q159)</f>
        <v>1.8414172266340867</v>
      </c>
      <c r="T159" s="228"/>
      <c r="U159" s="225">
        <f>28100+25000+0.32</f>
        <v>53100.32</v>
      </c>
      <c r="V159" s="225">
        <v>-8185</v>
      </c>
      <c r="W159" s="227">
        <f t="shared" ref="W159:W164" si="73">IF(V159=0,"NA",(+U159-V159)/V159)</f>
        <v>-7.4875161881490531</v>
      </c>
      <c r="X159" s="229" t="s">
        <v>524</v>
      </c>
      <c r="Y159" s="57"/>
    </row>
    <row r="160" spans="1:37" hidden="1" x14ac:dyDescent="0.35">
      <c r="C160" s="233" t="s">
        <v>178</v>
      </c>
      <c r="D160" s="243"/>
      <c r="E160" s="244"/>
      <c r="F160" s="245"/>
      <c r="G160" s="245"/>
      <c r="H160" s="245"/>
      <c r="I160" s="245"/>
      <c r="J160" s="245"/>
      <c r="K160" s="245"/>
      <c r="L160" s="245"/>
      <c r="M160" s="245"/>
      <c r="N160" s="245"/>
      <c r="O160" s="233"/>
      <c r="P160" s="251">
        <v>0</v>
      </c>
      <c r="Q160" s="251">
        <v>0</v>
      </c>
      <c r="R160" s="231">
        <f t="shared" si="71"/>
        <v>0</v>
      </c>
      <c r="S160" s="232" t="str">
        <f t="shared" si="72"/>
        <v>NA</v>
      </c>
      <c r="T160" s="233"/>
      <c r="U160" s="230">
        <v>0</v>
      </c>
      <c r="V160" s="230">
        <v>0</v>
      </c>
      <c r="W160" s="232" t="str">
        <f t="shared" si="73"/>
        <v>NA</v>
      </c>
      <c r="X160" s="234"/>
      <c r="Y160" s="57"/>
    </row>
    <row r="161" spans="1:37" x14ac:dyDescent="0.35">
      <c r="A161" s="42">
        <v>156</v>
      </c>
      <c r="C161" s="233" t="s">
        <v>144</v>
      </c>
      <c r="D161" s="243"/>
      <c r="E161" s="244"/>
      <c r="F161" s="245"/>
      <c r="G161" s="245"/>
      <c r="H161" s="245"/>
      <c r="I161" s="245"/>
      <c r="J161" s="245"/>
      <c r="K161" s="245"/>
      <c r="L161" s="245"/>
      <c r="M161" s="245"/>
      <c r="N161" s="245"/>
      <c r="O161" s="233"/>
      <c r="P161" s="251">
        <v>0</v>
      </c>
      <c r="Q161" s="251">
        <v>0</v>
      </c>
      <c r="R161" s="231">
        <f t="shared" si="71"/>
        <v>0</v>
      </c>
      <c r="S161" s="232" t="str">
        <f t="shared" si="72"/>
        <v>NA</v>
      </c>
      <c r="T161" s="233"/>
      <c r="U161" s="251">
        <v>25000</v>
      </c>
      <c r="V161" s="230">
        <v>0</v>
      </c>
      <c r="W161" s="232" t="str">
        <f t="shared" si="73"/>
        <v>NA</v>
      </c>
      <c r="X161" s="234" t="s">
        <v>525</v>
      </c>
      <c r="Y161" s="57"/>
    </row>
    <row r="162" spans="1:37" hidden="1" x14ac:dyDescent="0.35">
      <c r="A162" s="42">
        <v>157</v>
      </c>
      <c r="C162" s="233" t="s">
        <v>149</v>
      </c>
      <c r="D162" s="243"/>
      <c r="E162" s="244"/>
      <c r="F162" s="245"/>
      <c r="G162" s="245"/>
      <c r="H162" s="245"/>
      <c r="I162" s="245"/>
      <c r="J162" s="245"/>
      <c r="K162" s="245"/>
      <c r="L162" s="245"/>
      <c r="M162" s="245"/>
      <c r="N162" s="245"/>
      <c r="O162" s="233"/>
      <c r="P162" s="251">
        <v>0</v>
      </c>
      <c r="Q162" s="251">
        <v>0</v>
      </c>
      <c r="R162" s="231">
        <f t="shared" si="71"/>
        <v>0</v>
      </c>
      <c r="S162" s="232" t="str">
        <f t="shared" si="72"/>
        <v>NA</v>
      </c>
      <c r="T162" s="233"/>
      <c r="U162" s="251">
        <v>0</v>
      </c>
      <c r="V162" s="230">
        <v>0</v>
      </c>
      <c r="W162" s="291" t="s">
        <v>454</v>
      </c>
      <c r="X162" s="234" t="s">
        <v>526</v>
      </c>
      <c r="Y162" s="58"/>
    </row>
    <row r="163" spans="1:37" x14ac:dyDescent="0.35">
      <c r="A163" s="42">
        <v>157</v>
      </c>
      <c r="C163" s="238" t="s">
        <v>173</v>
      </c>
      <c r="D163" s="246"/>
      <c r="E163" s="247"/>
      <c r="F163" s="248"/>
      <c r="G163" s="248"/>
      <c r="H163" s="248"/>
      <c r="I163" s="248"/>
      <c r="J163" s="248"/>
      <c r="K163" s="248"/>
      <c r="L163" s="248"/>
      <c r="M163" s="248"/>
      <c r="N163" s="248"/>
      <c r="O163" s="238"/>
      <c r="P163" s="252">
        <v>0</v>
      </c>
      <c r="Q163" s="252">
        <v>0</v>
      </c>
      <c r="R163" s="236">
        <f t="shared" si="71"/>
        <v>0</v>
      </c>
      <c r="S163" s="237" t="str">
        <f t="shared" si="72"/>
        <v>NA</v>
      </c>
      <c r="T163" s="238"/>
      <c r="U163" s="235">
        <v>28100</v>
      </c>
      <c r="V163" s="235">
        <v>0</v>
      </c>
      <c r="W163" s="237" t="str">
        <f t="shared" si="73"/>
        <v>NA</v>
      </c>
      <c r="X163" s="239" t="s">
        <v>549</v>
      </c>
      <c r="Y163" s="58"/>
      <c r="Z163" s="2"/>
    </row>
    <row r="164" spans="1:37" hidden="1" x14ac:dyDescent="0.35">
      <c r="A164" s="42">
        <v>158</v>
      </c>
      <c r="C164" s="1" t="s">
        <v>76</v>
      </c>
      <c r="P164" s="53">
        <v>0</v>
      </c>
      <c r="Q164" s="53">
        <v>0</v>
      </c>
      <c r="R164" s="37">
        <f t="shared" si="71"/>
        <v>0</v>
      </c>
      <c r="S164" s="3" t="str">
        <f t="shared" si="72"/>
        <v>NA</v>
      </c>
      <c r="U164" s="51">
        <v>0</v>
      </c>
      <c r="V164" s="51">
        <v>0</v>
      </c>
      <c r="W164" s="3" t="str">
        <f t="shared" si="73"/>
        <v>NA</v>
      </c>
      <c r="X164" s="61"/>
      <c r="Y164" s="61" t="s">
        <v>132</v>
      </c>
      <c r="Z164" s="2">
        <v>16</v>
      </c>
    </row>
    <row r="165" spans="1:37" s="2" customFormat="1" x14ac:dyDescent="0.35">
      <c r="A165" s="1"/>
      <c r="B165" s="28" t="s">
        <v>77</v>
      </c>
      <c r="C165" s="28"/>
      <c r="D165" s="28"/>
      <c r="E165" s="87"/>
      <c r="F165" s="87"/>
      <c r="G165" s="87"/>
      <c r="H165" s="87"/>
      <c r="I165" s="87"/>
      <c r="J165" s="87"/>
      <c r="K165" s="87"/>
      <c r="L165" s="87"/>
      <c r="M165" s="87"/>
      <c r="N165" s="87"/>
      <c r="O165" s="28"/>
      <c r="P165" s="28">
        <f>SUM(P159:P164)</f>
        <v>-23257</v>
      </c>
      <c r="Q165" s="28">
        <f>SUM(Q159:Q164)</f>
        <v>-8185</v>
      </c>
      <c r="R165" s="28">
        <f>SUM(R159:R164)</f>
        <v>-15072</v>
      </c>
      <c r="S165" s="29">
        <f t="shared" si="72"/>
        <v>1.8414172266340867</v>
      </c>
      <c r="U165" s="28">
        <f>SUM(U159:U164)</f>
        <v>106200.32000000001</v>
      </c>
      <c r="V165" s="28">
        <f>SUM(V159:V164)</f>
        <v>-8185</v>
      </c>
      <c r="W165" s="774" t="s">
        <v>454</v>
      </c>
      <c r="X165" s="71"/>
      <c r="Y165" s="60"/>
      <c r="Z165" s="1"/>
    </row>
    <row r="166" spans="1:37" ht="7.5" customHeight="1" x14ac:dyDescent="0.35">
      <c r="A166" s="42">
        <v>160</v>
      </c>
      <c r="D166" s="1"/>
      <c r="E166" s="38"/>
      <c r="S166" s="4"/>
      <c r="X166" s="70"/>
      <c r="Y166" s="58"/>
    </row>
    <row r="167" spans="1:37" x14ac:dyDescent="0.35">
      <c r="A167" s="42">
        <v>161</v>
      </c>
      <c r="B167" s="30" t="s">
        <v>78</v>
      </c>
      <c r="C167" s="31"/>
      <c r="D167" s="31"/>
      <c r="E167" s="88"/>
      <c r="F167" s="88"/>
      <c r="G167" s="88"/>
      <c r="H167" s="88"/>
      <c r="I167" s="88"/>
      <c r="J167" s="88"/>
      <c r="K167" s="88"/>
      <c r="L167" s="88"/>
      <c r="M167" s="88"/>
      <c r="N167" s="88"/>
      <c r="O167" s="31"/>
      <c r="P167" s="30">
        <f>P32+P78+P138+P157+P165</f>
        <v>458000</v>
      </c>
      <c r="Q167" s="30">
        <f>+Q78+Q138+Q157+Q165+Q32</f>
        <v>498500</v>
      </c>
      <c r="R167" s="30">
        <f>+R78+R138+R157+R165+R32</f>
        <v>-40500</v>
      </c>
      <c r="S167" s="32">
        <f>IF(Q167=0,"NA",(+P167-Q167)/Q167)</f>
        <v>-8.1243731193580748E-2</v>
      </c>
      <c r="U167" s="30">
        <f>+U78+U138+U157+U165+U32</f>
        <v>524504.86999999988</v>
      </c>
      <c r="V167" s="30">
        <f>+V78+V138+V157+V165+V32</f>
        <v>498500</v>
      </c>
      <c r="W167" s="32">
        <f>IF(V167=0,"NA",(+U167-V167)/V167)</f>
        <v>5.21662387161482E-2</v>
      </c>
      <c r="X167" s="70"/>
      <c r="Y167" s="58"/>
      <c r="AD167" s="384">
        <f t="shared" ref="AD167:AK167" si="74">+SUM(AD5:AD165)-AD68-AD91-AD102-AD121-AD122</f>
        <v>159478.27400000003</v>
      </c>
      <c r="AE167" s="384">
        <f t="shared" si="74"/>
        <v>88698.274000000005</v>
      </c>
      <c r="AF167" s="384">
        <f t="shared" si="74"/>
        <v>116392.25200000002</v>
      </c>
      <c r="AG167" s="384">
        <f t="shared" si="74"/>
        <v>116688.2</v>
      </c>
      <c r="AH167" s="384">
        <f t="shared" si="74"/>
        <v>143517.17768000005</v>
      </c>
      <c r="AI167" s="384">
        <f t="shared" si="74"/>
        <v>70601.88768</v>
      </c>
      <c r="AJ167" s="384">
        <f t="shared" si="74"/>
        <v>116151.00064000001</v>
      </c>
      <c r="AK167" s="384">
        <f t="shared" si="74"/>
        <v>88147.8</v>
      </c>
    </row>
    <row r="168" spans="1:37" x14ac:dyDescent="0.35">
      <c r="A168" s="42">
        <v>162</v>
      </c>
      <c r="B168" s="30" t="s">
        <v>79</v>
      </c>
      <c r="C168" s="31"/>
      <c r="D168" s="31"/>
      <c r="E168" s="88"/>
      <c r="F168" s="88"/>
      <c r="G168" s="88"/>
      <c r="H168" s="88"/>
      <c r="I168" s="88"/>
      <c r="J168" s="88"/>
      <c r="K168" s="88"/>
      <c r="L168" s="88"/>
      <c r="M168" s="88"/>
      <c r="N168" s="88"/>
      <c r="O168" s="31"/>
      <c r="P168" s="30">
        <f>ROUND(+P20-P167,0)</f>
        <v>0</v>
      </c>
      <c r="Q168" s="30">
        <f>ROUND(+Q20-Q167,0)</f>
        <v>0</v>
      </c>
      <c r="R168" s="30">
        <f>ROUND(+R20-R167,0)</f>
        <v>0</v>
      </c>
      <c r="S168" s="32" t="str">
        <f>IF(Q168=0,"NA",(+P168-Q168)/Q168)</f>
        <v>NA</v>
      </c>
      <c r="U168" s="30">
        <f>+U20-U167</f>
        <v>0</v>
      </c>
      <c r="V168" s="30">
        <f>+V20-V167</f>
        <v>0</v>
      </c>
      <c r="W168" s="781" t="s">
        <v>454</v>
      </c>
      <c r="X168" s="70"/>
      <c r="Y168" s="58"/>
      <c r="AD168" s="1">
        <f>SUM(AD167:AG167)-P167</f>
        <v>23257.000000000058</v>
      </c>
    </row>
    <row r="169" spans="1:37" ht="10" customHeight="1" x14ac:dyDescent="0.35">
      <c r="S169" s="4"/>
      <c r="X169" s="70"/>
      <c r="Y169" s="58"/>
    </row>
    <row r="170" spans="1:37" hidden="1" x14ac:dyDescent="0.35">
      <c r="B170" s="101" t="s">
        <v>585</v>
      </c>
      <c r="C170" s="102"/>
      <c r="D170" s="102"/>
      <c r="E170" s="103"/>
      <c r="F170" s="103"/>
      <c r="G170" s="103"/>
      <c r="H170" s="103"/>
      <c r="I170" s="103"/>
      <c r="J170" s="103"/>
      <c r="K170" s="103"/>
      <c r="L170" s="103"/>
      <c r="M170" s="103"/>
      <c r="N170" s="103"/>
      <c r="O170" s="102"/>
      <c r="P170" s="104">
        <f>+P20-P18</f>
        <v>458000</v>
      </c>
      <c r="Q170" s="104">
        <f>+Q20-Q18</f>
        <v>498500</v>
      </c>
      <c r="R170" s="105">
        <f>+P170-Q170</f>
        <v>-40500</v>
      </c>
      <c r="S170" s="106">
        <f>IF(Q170=0,"NA",(+P170-Q170)/Q170)</f>
        <v>-8.1243731193580748E-2</v>
      </c>
      <c r="T170" s="102"/>
      <c r="U170" s="104">
        <f>+U20-U18</f>
        <v>524504.87</v>
      </c>
      <c r="V170" s="104">
        <f>+V20-V18</f>
        <v>498500</v>
      </c>
      <c r="W170" s="107">
        <f>IF(V170=0,"NA",(+U170-V170)/V170)</f>
        <v>5.2166238716148436E-2</v>
      </c>
      <c r="X170" s="61" t="s">
        <v>182</v>
      </c>
      <c r="Y170" s="58"/>
    </row>
    <row r="171" spans="1:37" hidden="1" x14ac:dyDescent="0.35">
      <c r="B171" s="108" t="s">
        <v>151</v>
      </c>
      <c r="C171" s="96"/>
      <c r="D171" s="96"/>
      <c r="E171" s="97"/>
      <c r="F171" s="97"/>
      <c r="G171" s="97"/>
      <c r="H171" s="97"/>
      <c r="I171" s="97"/>
      <c r="J171" s="97"/>
      <c r="K171" s="97"/>
      <c r="L171" s="97"/>
      <c r="M171" s="97"/>
      <c r="N171" s="97"/>
      <c r="O171" s="96"/>
      <c r="P171" s="98">
        <f>+P167-P165</f>
        <v>481257</v>
      </c>
      <c r="Q171" s="98">
        <f>+Q167-Q165</f>
        <v>506685</v>
      </c>
      <c r="R171" s="99">
        <f>+P171-Q171</f>
        <v>-25428</v>
      </c>
      <c r="S171" s="100">
        <f>IF(Q171=0,"NA",(+P171-Q171)/Q171)</f>
        <v>-5.0185026199709881E-2</v>
      </c>
      <c r="T171" s="96"/>
      <c r="U171" s="98">
        <f>+U167-U165</f>
        <v>418304.54999999987</v>
      </c>
      <c r="V171" s="98">
        <f>+V167-V165</f>
        <v>506685</v>
      </c>
      <c r="W171" s="109">
        <f>IF(V171=0,"NA",(+U171-V171)/V171)</f>
        <v>-0.17442878711625592</v>
      </c>
      <c r="X171" s="70"/>
      <c r="Y171" s="58"/>
    </row>
    <row r="172" spans="1:37" ht="15" hidden="1" thickBot="1" x14ac:dyDescent="0.4">
      <c r="B172" s="110" t="s">
        <v>160</v>
      </c>
      <c r="C172" s="111"/>
      <c r="D172" s="111"/>
      <c r="E172" s="112"/>
      <c r="F172" s="112"/>
      <c r="G172" s="112"/>
      <c r="H172" s="113"/>
      <c r="I172" s="113"/>
      <c r="J172" s="113"/>
      <c r="K172" s="113"/>
      <c r="L172" s="113"/>
      <c r="M172" s="113"/>
      <c r="N172" s="113"/>
      <c r="O172" s="111"/>
      <c r="P172" s="114">
        <f>+P170-P171</f>
        <v>-23257</v>
      </c>
      <c r="Q172" s="114">
        <f>+Q170-Q171</f>
        <v>-8185</v>
      </c>
      <c r="R172" s="115">
        <f>+P172-Q172</f>
        <v>-15072</v>
      </c>
      <c r="S172" s="116">
        <f>IF(Q172=0,"NA",(+P172-Q172)/Q172)</f>
        <v>1.8414172266340867</v>
      </c>
      <c r="T172" s="111"/>
      <c r="U172" s="114">
        <f>+U170-U171</f>
        <v>106200.32000000012</v>
      </c>
      <c r="V172" s="114">
        <f>+V170-V171</f>
        <v>-8185</v>
      </c>
      <c r="W172" s="775" t="s">
        <v>454</v>
      </c>
      <c r="X172" s="70"/>
      <c r="Y172" s="58"/>
    </row>
    <row r="173" spans="1:37" x14ac:dyDescent="0.35">
      <c r="S173" s="4"/>
      <c r="X173" s="58"/>
      <c r="Y173" s="58"/>
    </row>
    <row r="174" spans="1:37" x14ac:dyDescent="0.35">
      <c r="H174" s="89"/>
      <c r="I174" s="89"/>
      <c r="J174" s="89"/>
      <c r="K174" s="89"/>
      <c r="L174" s="89"/>
      <c r="M174" s="89"/>
      <c r="N174" s="89"/>
      <c r="W174" s="1"/>
      <c r="X174" s="58"/>
      <c r="Y174" s="58"/>
    </row>
    <row r="175" spans="1:37" x14ac:dyDescent="0.35">
      <c r="S175" s="4"/>
      <c r="X175" s="58"/>
      <c r="Y175" s="58"/>
    </row>
    <row r="176" spans="1:37" x14ac:dyDescent="0.35">
      <c r="D176" s="72"/>
      <c r="E176" s="90"/>
      <c r="S176" s="4"/>
      <c r="X176" s="58"/>
      <c r="Y176" s="58"/>
    </row>
    <row r="177" spans="1:26" x14ac:dyDescent="0.35">
      <c r="S177" s="4"/>
      <c r="X177" s="58"/>
      <c r="Y177" s="58"/>
    </row>
    <row r="178" spans="1:26" x14ac:dyDescent="0.35">
      <c r="A178" s="1"/>
      <c r="B178" s="1"/>
      <c r="S178" s="4"/>
      <c r="W178" s="1"/>
      <c r="X178" s="66"/>
      <c r="Y178" s="66"/>
      <c r="Z178" s="2"/>
    </row>
    <row r="179" spans="1:26" x14ac:dyDescent="0.35">
      <c r="A179" s="1"/>
      <c r="B179" s="1"/>
      <c r="S179" s="4"/>
      <c r="W179" s="1"/>
      <c r="X179" s="66"/>
      <c r="Y179" s="66"/>
    </row>
    <row r="180" spans="1:26" x14ac:dyDescent="0.35">
      <c r="A180" s="1"/>
      <c r="B180" s="1"/>
      <c r="S180" s="4"/>
      <c r="W180" s="1"/>
      <c r="X180" s="66"/>
      <c r="Y180" s="66"/>
    </row>
    <row r="181" spans="1:26" x14ac:dyDescent="0.35">
      <c r="B181" s="1"/>
      <c r="S181" s="4"/>
      <c r="W181" s="1"/>
      <c r="X181" s="66"/>
      <c r="Y181" s="66"/>
    </row>
    <row r="182" spans="1:26" x14ac:dyDescent="0.35">
      <c r="A182" s="1"/>
      <c r="B182" s="1"/>
      <c r="S182" s="4"/>
      <c r="W182" s="1"/>
      <c r="X182" s="66"/>
      <c r="Y182" s="66"/>
    </row>
    <row r="183" spans="1:26" x14ac:dyDescent="0.35">
      <c r="A183" s="1"/>
      <c r="B183" s="1"/>
      <c r="S183" s="4"/>
      <c r="W183" s="1"/>
      <c r="X183" s="66"/>
      <c r="Y183" s="66"/>
    </row>
    <row r="184" spans="1:26" x14ac:dyDescent="0.35">
      <c r="A184" s="1"/>
      <c r="B184" s="1"/>
      <c r="S184" s="4"/>
      <c r="W184" s="1"/>
      <c r="X184" s="66"/>
      <c r="Y184" s="37"/>
    </row>
    <row r="185" spans="1:26" x14ac:dyDescent="0.35">
      <c r="A185" s="1"/>
      <c r="B185" s="1"/>
      <c r="S185" s="4"/>
      <c r="W185" s="1"/>
      <c r="X185" s="66"/>
      <c r="Y185" s="37"/>
    </row>
    <row r="186" spans="1:26" x14ac:dyDescent="0.35">
      <c r="A186" s="1"/>
      <c r="B186" s="1"/>
      <c r="S186" s="4"/>
      <c r="W186" s="1"/>
      <c r="X186" s="66"/>
      <c r="Y186" s="37"/>
    </row>
    <row r="187" spans="1:26" x14ac:dyDescent="0.35">
      <c r="A187" s="1"/>
      <c r="B187" s="1"/>
      <c r="S187" s="4"/>
      <c r="W187" s="1"/>
      <c r="X187" s="66"/>
      <c r="Y187" s="37"/>
    </row>
    <row r="188" spans="1:26" x14ac:dyDescent="0.35">
      <c r="A188" s="1"/>
      <c r="B188" s="1"/>
      <c r="S188" s="4"/>
      <c r="W188" s="1"/>
      <c r="X188" s="66"/>
      <c r="Y188" s="37"/>
    </row>
    <row r="189" spans="1:26" x14ac:dyDescent="0.35">
      <c r="A189" s="1"/>
      <c r="B189" s="1"/>
      <c r="S189" s="4"/>
      <c r="W189" s="1"/>
      <c r="X189" s="66"/>
      <c r="Y189" s="37"/>
    </row>
    <row r="190" spans="1:26" x14ac:dyDescent="0.35">
      <c r="A190" s="1"/>
      <c r="B190" s="1"/>
      <c r="S190" s="4"/>
      <c r="W190" s="1"/>
      <c r="X190" s="66"/>
      <c r="Y190" s="37"/>
    </row>
    <row r="191" spans="1:26" x14ac:dyDescent="0.35">
      <c r="A191" s="1"/>
      <c r="B191" s="1"/>
      <c r="S191" s="4"/>
      <c r="W191" s="1"/>
      <c r="X191" s="67"/>
      <c r="Y191" s="37"/>
    </row>
    <row r="192" spans="1:26" x14ac:dyDescent="0.35">
      <c r="Y192" s="37"/>
    </row>
    <row r="193" spans="25:25" x14ac:dyDescent="0.35">
      <c r="Y193" s="46"/>
    </row>
    <row r="194" spans="25:25" x14ac:dyDescent="0.35">
      <c r="Y194" s="46"/>
    </row>
    <row r="195" spans="25:25" x14ac:dyDescent="0.35">
      <c r="Y195" s="46"/>
    </row>
    <row r="196" spans="25:25" x14ac:dyDescent="0.35">
      <c r="Y196" s="46"/>
    </row>
    <row r="197" spans="25:25" x14ac:dyDescent="0.35">
      <c r="Y197" s="46"/>
    </row>
    <row r="198" spans="25:25" x14ac:dyDescent="0.35">
      <c r="Y198" s="46"/>
    </row>
    <row r="199" spans="25:25" x14ac:dyDescent="0.35">
      <c r="Y199" s="46"/>
    </row>
    <row r="200" spans="25:25" x14ac:dyDescent="0.35">
      <c r="Y200" s="46"/>
    </row>
    <row r="201" spans="25:25" x14ac:dyDescent="0.35">
      <c r="Y201" s="46"/>
    </row>
    <row r="202" spans="25:25" x14ac:dyDescent="0.35">
      <c r="Y202" s="46"/>
    </row>
    <row r="203" spans="25:25" x14ac:dyDescent="0.35">
      <c r="Y203" s="46"/>
    </row>
    <row r="204" spans="25:25" x14ac:dyDescent="0.35">
      <c r="Y204" s="46"/>
    </row>
    <row r="205" spans="25:25" x14ac:dyDescent="0.35">
      <c r="Y205" s="46"/>
    </row>
    <row r="206" spans="25:25" x14ac:dyDescent="0.35">
      <c r="Y206" s="46"/>
    </row>
    <row r="207" spans="25:25" x14ac:dyDescent="0.35">
      <c r="Y207" s="46"/>
    </row>
    <row r="208" spans="25:25" x14ac:dyDescent="0.35">
      <c r="Y208" s="46"/>
    </row>
    <row r="209" spans="25:25" x14ac:dyDescent="0.35">
      <c r="Y209" s="46"/>
    </row>
    <row r="210" spans="25:25" x14ac:dyDescent="0.35">
      <c r="Y210" s="46"/>
    </row>
    <row r="211" spans="25:25" x14ac:dyDescent="0.35">
      <c r="Y211" s="46"/>
    </row>
    <row r="212" spans="25:25" x14ac:dyDescent="0.35">
      <c r="Y212" s="46"/>
    </row>
    <row r="213" spans="25:25" x14ac:dyDescent="0.35">
      <c r="Y213" s="46"/>
    </row>
    <row r="214" spans="25:25" x14ac:dyDescent="0.35">
      <c r="Y214" s="46"/>
    </row>
    <row r="215" spans="25:25" x14ac:dyDescent="0.35">
      <c r="Y215" s="46"/>
    </row>
    <row r="216" spans="25:25" x14ac:dyDescent="0.35">
      <c r="Y216" s="46"/>
    </row>
    <row r="217" spans="25:25" x14ac:dyDescent="0.35">
      <c r="Y217" s="46"/>
    </row>
    <row r="218" spans="25:25" x14ac:dyDescent="0.35">
      <c r="Y218" s="46"/>
    </row>
    <row r="219" spans="25:25" x14ac:dyDescent="0.35">
      <c r="Y219" s="46"/>
    </row>
    <row r="220" spans="25:25" x14ac:dyDescent="0.35">
      <c r="Y220" s="46"/>
    </row>
  </sheetData>
  <mergeCells count="27">
    <mergeCell ref="X81:X82"/>
    <mergeCell ref="AD3:AG3"/>
    <mergeCell ref="AH3:AK3"/>
    <mergeCell ref="B1:X1"/>
    <mergeCell ref="O79:O80"/>
    <mergeCell ref="P2:S2"/>
    <mergeCell ref="U2:W2"/>
    <mergeCell ref="R3:S3"/>
    <mergeCell ref="U3:U4"/>
    <mergeCell ref="V3:V4"/>
    <mergeCell ref="W3:W4"/>
    <mergeCell ref="P3:P4"/>
    <mergeCell ref="Q3:Q4"/>
    <mergeCell ref="E77:H77"/>
    <mergeCell ref="E74:M74"/>
    <mergeCell ref="G80:H80"/>
    <mergeCell ref="G79:H79"/>
    <mergeCell ref="I77:L77"/>
    <mergeCell ref="C85:D85"/>
    <mergeCell ref="C115:D115"/>
    <mergeCell ref="G93:H93"/>
    <mergeCell ref="C153:D153"/>
    <mergeCell ref="E120:H120"/>
    <mergeCell ref="I120:L120"/>
    <mergeCell ref="E119:O119"/>
    <mergeCell ref="L85:O85"/>
    <mergeCell ref="C133:D133"/>
  </mergeCells>
  <pageMargins left="0" right="0" top="0.25" bottom="0.5" header="0.3" footer="0.3"/>
  <pageSetup scale="69" fitToHeight="0" orientation="landscape" r:id="rId1"/>
  <headerFooter>
    <oddFooter>&amp;C&amp;P of &amp;N&amp;R&amp;D</oddFooter>
  </headerFooter>
  <rowBreaks count="2" manualBreakCount="2">
    <brk id="78" max="16383" man="1"/>
    <brk id="121" max="16383" man="1"/>
  </rowBreaks>
  <colBreaks count="1" manualBreakCount="1">
    <brk id="1"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topLeftCell="A16" workbookViewId="0">
      <selection activeCell="F8" sqref="F8"/>
    </sheetView>
  </sheetViews>
  <sheetFormatPr defaultRowHeight="15.5" x14ac:dyDescent="0.35"/>
  <cols>
    <col min="1" max="1" width="4.7265625" style="347" customWidth="1"/>
    <col min="2" max="2" width="33.26953125" style="347" customWidth="1"/>
    <col min="3" max="3" width="8.81640625" style="379" customWidth="1"/>
    <col min="4" max="4" width="15.7265625" style="347" customWidth="1"/>
    <col min="5" max="5" width="10.1796875" style="347" customWidth="1"/>
    <col min="6" max="6" width="13.90625" style="347" customWidth="1"/>
    <col min="7" max="7" width="11.26953125" style="379" customWidth="1"/>
    <col min="8" max="8" width="11.36328125" style="347" customWidth="1"/>
    <col min="9" max="9" width="50.90625" style="347" customWidth="1"/>
    <col min="10" max="10" width="8.7265625" style="347"/>
    <col min="11" max="11" width="9.453125" style="347" bestFit="1" customWidth="1"/>
    <col min="12" max="16384" width="8.7265625" style="347"/>
  </cols>
  <sheetData>
    <row r="1" spans="1:9" ht="20" x14ac:dyDescent="0.35">
      <c r="A1" s="961" t="s">
        <v>83</v>
      </c>
      <c r="B1" s="961"/>
      <c r="C1" s="961"/>
      <c r="D1" s="961"/>
      <c r="E1" s="961"/>
      <c r="F1" s="961"/>
      <c r="G1" s="961"/>
      <c r="H1" s="961"/>
      <c r="I1" s="961"/>
    </row>
    <row r="2" spans="1:9" ht="18.5" customHeight="1" x14ac:dyDescent="0.35">
      <c r="A2" s="962" t="s">
        <v>424</v>
      </c>
      <c r="B2" s="962"/>
      <c r="C2" s="962"/>
      <c r="D2" s="962"/>
      <c r="E2" s="962"/>
      <c r="F2" s="962"/>
      <c r="G2" s="962"/>
      <c r="H2" s="962"/>
      <c r="I2" s="962"/>
    </row>
    <row r="3" spans="1:9" ht="18.5" customHeight="1" thickBot="1" x14ac:dyDescent="0.4">
      <c r="A3" s="698"/>
      <c r="B3" s="698"/>
      <c r="C3" s="698"/>
      <c r="D3" s="698"/>
      <c r="E3" s="698"/>
      <c r="F3" s="698"/>
      <c r="G3" s="962"/>
      <c r="H3" s="962"/>
      <c r="I3" s="698"/>
    </row>
    <row r="4" spans="1:9" ht="18.5" customHeight="1" x14ac:dyDescent="0.35">
      <c r="A4" s="963" t="s">
        <v>423</v>
      </c>
      <c r="B4" s="964"/>
      <c r="C4" s="964"/>
      <c r="D4" s="964"/>
      <c r="E4" s="740"/>
      <c r="F4" s="965" t="str">
        <f>+'New Year-Full Year'!P3&amp;" Proposed"</f>
        <v>2022 Budget Proposed</v>
      </c>
      <c r="G4" s="965" t="str">
        <f>+'New Year-Full Year'!P3&amp;" Current"</f>
        <v>2022 Budget Current</v>
      </c>
      <c r="H4" s="965" t="str">
        <f>+'New Year-Full Year'!Q3</f>
        <v>2021 Budget</v>
      </c>
      <c r="I4" s="741"/>
    </row>
    <row r="5" spans="1:9" ht="38" customHeight="1" thickBot="1" x14ac:dyDescent="0.4">
      <c r="A5" s="742"/>
      <c r="B5" s="743" t="s">
        <v>427</v>
      </c>
      <c r="C5" s="744" t="s">
        <v>432</v>
      </c>
      <c r="D5" s="745" t="s">
        <v>428</v>
      </c>
      <c r="E5" s="745"/>
      <c r="F5" s="966"/>
      <c r="G5" s="966"/>
      <c r="H5" s="966"/>
      <c r="I5" s="746" t="s">
        <v>440</v>
      </c>
    </row>
    <row r="6" spans="1:9" ht="18.5" customHeight="1" x14ac:dyDescent="0.35">
      <c r="A6" s="749" t="s">
        <v>371</v>
      </c>
      <c r="B6" s="750" t="s">
        <v>429</v>
      </c>
      <c r="C6" s="751" t="s">
        <v>433</v>
      </c>
      <c r="D6" s="972" t="s">
        <v>105</v>
      </c>
      <c r="E6" s="972"/>
      <c r="F6" s="727">
        <f>ROUND(+H6*1.01,0)-13</f>
        <v>16536</v>
      </c>
      <c r="G6" s="752">
        <f>+'New Year-Full Year'!P109</f>
        <v>16795</v>
      </c>
      <c r="H6" s="752">
        <f>+'New Year-Full Year'!Q109</f>
        <v>16385</v>
      </c>
      <c r="I6" s="956" t="s">
        <v>452</v>
      </c>
    </row>
    <row r="7" spans="1:9" ht="18.5" customHeight="1" x14ac:dyDescent="0.35">
      <c r="A7" s="753"/>
      <c r="B7" s="729" t="s">
        <v>425</v>
      </c>
      <c r="C7" s="729"/>
      <c r="D7" s="968"/>
      <c r="E7" s="968"/>
      <c r="F7" s="730">
        <f>+F6-$H6</f>
        <v>151</v>
      </c>
      <c r="G7" s="731">
        <f>+G6-$H6</f>
        <v>410</v>
      </c>
      <c r="H7" s="729"/>
      <c r="I7" s="957"/>
    </row>
    <row r="8" spans="1:9" ht="16" thickBot="1" x14ac:dyDescent="0.4">
      <c r="A8" s="365"/>
      <c r="B8" s="352" t="s">
        <v>431</v>
      </c>
      <c r="C8" s="732"/>
      <c r="D8" s="969"/>
      <c r="E8" s="969"/>
      <c r="F8" s="772">
        <f>+F7/$H6</f>
        <v>9.2157461092462617E-3</v>
      </c>
      <c r="G8" s="733">
        <f>+G7/$H6</f>
        <v>2.5022886786695148E-2</v>
      </c>
      <c r="H8" s="352"/>
      <c r="I8" s="958"/>
    </row>
    <row r="9" spans="1:9" ht="18.5" customHeight="1" x14ac:dyDescent="0.35">
      <c r="A9" s="754" t="s">
        <v>372</v>
      </c>
      <c r="B9" s="726" t="s">
        <v>430</v>
      </c>
      <c r="C9" s="725" t="s">
        <v>433</v>
      </c>
      <c r="D9" s="967" t="s">
        <v>447</v>
      </c>
      <c r="E9" s="967"/>
      <c r="F9" s="727">
        <f>ROUND(+H9*1.01,0)</f>
        <v>3122</v>
      </c>
      <c r="G9" s="728">
        <f>+'New Year-Full Year'!P111</f>
        <v>3168</v>
      </c>
      <c r="H9" s="728">
        <f>+'New Year-Full Year'!Q111</f>
        <v>3091</v>
      </c>
      <c r="I9" s="956" t="s">
        <v>452</v>
      </c>
    </row>
    <row r="10" spans="1:9" ht="18.5" customHeight="1" x14ac:dyDescent="0.35">
      <c r="A10" s="753"/>
      <c r="B10" s="729" t="s">
        <v>425</v>
      </c>
      <c r="C10" s="729"/>
      <c r="D10" s="968"/>
      <c r="E10" s="968"/>
      <c r="F10" s="730">
        <f>+F9-$H9</f>
        <v>31</v>
      </c>
      <c r="G10" s="731">
        <f>+G9-$H9</f>
        <v>77</v>
      </c>
      <c r="H10" s="729"/>
      <c r="I10" s="957"/>
    </row>
    <row r="11" spans="1:9" x14ac:dyDescent="0.35">
      <c r="A11" s="365"/>
      <c r="B11" s="352" t="s">
        <v>431</v>
      </c>
      <c r="C11" s="732"/>
      <c r="D11" s="969"/>
      <c r="E11" s="969"/>
      <c r="F11" s="733">
        <f>+F10/$H9</f>
        <v>1.0029116790682626E-2</v>
      </c>
      <c r="G11" s="733">
        <f>+G10/$H9</f>
        <v>2.491103202846975E-2</v>
      </c>
      <c r="H11" s="352"/>
      <c r="I11" s="958"/>
    </row>
    <row r="12" spans="1:9" ht="18.5" customHeight="1" x14ac:dyDescent="0.35">
      <c r="A12" s="754" t="s">
        <v>373</v>
      </c>
      <c r="B12" s="726" t="s">
        <v>313</v>
      </c>
      <c r="C12" s="725" t="s">
        <v>433</v>
      </c>
      <c r="D12" s="967" t="s">
        <v>45</v>
      </c>
      <c r="E12" s="967"/>
      <c r="F12" s="727">
        <v>7634</v>
      </c>
      <c r="G12" s="728">
        <f>+'New Year-Full Year'!P117</f>
        <v>3000</v>
      </c>
      <c r="H12" s="728">
        <f>+'New Year-Full Year'!Q117</f>
        <v>7634</v>
      </c>
      <c r="I12" s="959" t="s">
        <v>441</v>
      </c>
    </row>
    <row r="13" spans="1:9" ht="18.5" customHeight="1" x14ac:dyDescent="0.35">
      <c r="A13" s="753"/>
      <c r="B13" s="729" t="s">
        <v>425</v>
      </c>
      <c r="C13" s="729"/>
      <c r="D13" s="968"/>
      <c r="E13" s="968"/>
      <c r="F13" s="730">
        <f>+F12-$H12</f>
        <v>0</v>
      </c>
      <c r="G13" s="731">
        <f>+G12-$H12</f>
        <v>-4634</v>
      </c>
      <c r="H13" s="729"/>
      <c r="I13" s="957"/>
    </row>
    <row r="14" spans="1:9" ht="16" thickBot="1" x14ac:dyDescent="0.4">
      <c r="A14" s="358"/>
      <c r="B14" s="359" t="s">
        <v>431</v>
      </c>
      <c r="C14" s="755"/>
      <c r="D14" s="973"/>
      <c r="E14" s="973"/>
      <c r="F14" s="756">
        <f>+F13/$H12</f>
        <v>0</v>
      </c>
      <c r="G14" s="756">
        <f>+G13/$H12</f>
        <v>-0.60702122085407384</v>
      </c>
      <c r="H14" s="359"/>
      <c r="I14" s="960"/>
    </row>
    <row r="15" spans="1:9" ht="16" thickBot="1" x14ac:dyDescent="0.4"/>
    <row r="16" spans="1:9" ht="18.5" customHeight="1" x14ac:dyDescent="0.35">
      <c r="A16" s="963" t="s">
        <v>435</v>
      </c>
      <c r="B16" s="964"/>
      <c r="C16" s="964"/>
      <c r="D16" s="964"/>
      <c r="E16" s="740"/>
      <c r="F16" s="965" t="str">
        <f>+F$4</f>
        <v>2022 Budget Proposed</v>
      </c>
      <c r="G16" s="965" t="str">
        <f t="shared" ref="G16:H16" si="0">+G$4</f>
        <v>2022 Budget Current</v>
      </c>
      <c r="H16" s="965" t="str">
        <f t="shared" si="0"/>
        <v>2021 Budget</v>
      </c>
      <c r="I16" s="741"/>
    </row>
    <row r="17" spans="1:11" ht="38" customHeight="1" thickBot="1" x14ac:dyDescent="0.4">
      <c r="A17" s="742"/>
      <c r="B17" s="743" t="s">
        <v>427</v>
      </c>
      <c r="C17" s="744" t="s">
        <v>436</v>
      </c>
      <c r="D17" s="966" t="s">
        <v>437</v>
      </c>
      <c r="E17" s="966"/>
      <c r="F17" s="966"/>
      <c r="G17" s="966"/>
      <c r="H17" s="966"/>
      <c r="I17" s="746" t="str">
        <f>+I$5</f>
        <v>Notes / Rational for change</v>
      </c>
    </row>
    <row r="18" spans="1:11" x14ac:dyDescent="0.35">
      <c r="A18" s="753" t="s">
        <v>371</v>
      </c>
      <c r="B18" s="697" t="s">
        <v>434</v>
      </c>
      <c r="C18" s="747">
        <v>25</v>
      </c>
      <c r="D18" s="738" t="s">
        <v>438</v>
      </c>
      <c r="E18" s="758">
        <v>13.78</v>
      </c>
      <c r="F18" s="748">
        <f>+$C18*$E18*52</f>
        <v>17914</v>
      </c>
      <c r="G18" s="748">
        <f>+$C18*$E19*52</f>
        <v>17914</v>
      </c>
      <c r="H18" s="748">
        <f>+$C18*$E20*52</f>
        <v>17732</v>
      </c>
      <c r="I18" s="957" t="s">
        <v>453</v>
      </c>
      <c r="K18" s="351"/>
    </row>
    <row r="19" spans="1:11" x14ac:dyDescent="0.35">
      <c r="A19" s="753"/>
      <c r="B19" s="729" t="s">
        <v>425</v>
      </c>
      <c r="C19" s="734"/>
      <c r="D19" s="738" t="s">
        <v>439</v>
      </c>
      <c r="E19" s="758">
        <v>13.78</v>
      </c>
      <c r="F19" s="730">
        <f>+F18-$H18</f>
        <v>182</v>
      </c>
      <c r="G19" s="731">
        <f>+G18-$H18</f>
        <v>182</v>
      </c>
      <c r="H19" s="350"/>
      <c r="I19" s="957"/>
    </row>
    <row r="20" spans="1:11" x14ac:dyDescent="0.35">
      <c r="A20" s="365"/>
      <c r="B20" s="352" t="s">
        <v>431</v>
      </c>
      <c r="C20" s="732"/>
      <c r="D20" s="739" t="s">
        <v>281</v>
      </c>
      <c r="E20" s="759">
        <v>13.64</v>
      </c>
      <c r="F20" s="733">
        <f>+F19/$H18</f>
        <v>1.0263929618768328E-2</v>
      </c>
      <c r="G20" s="733">
        <f>+G19/$H18</f>
        <v>1.0263929618768328E-2</v>
      </c>
      <c r="H20" s="352"/>
      <c r="I20" s="958"/>
    </row>
    <row r="21" spans="1:11" x14ac:dyDescent="0.35">
      <c r="A21" s="754" t="s">
        <v>372</v>
      </c>
      <c r="B21" s="726" t="s">
        <v>442</v>
      </c>
      <c r="C21" s="736">
        <v>20</v>
      </c>
      <c r="D21" s="737" t="s">
        <v>438</v>
      </c>
      <c r="E21" s="760">
        <v>11.57</v>
      </c>
      <c r="F21" s="748">
        <f>+$C21*$E21*52</f>
        <v>12032.800000000001</v>
      </c>
      <c r="G21" s="748">
        <f>+$C21*$E22*52</f>
        <v>12157.599999999999</v>
      </c>
      <c r="H21" s="748">
        <f>+$C21*$E23*52</f>
        <v>12032.800000000001</v>
      </c>
      <c r="I21" s="959" t="s">
        <v>444</v>
      </c>
    </row>
    <row r="22" spans="1:11" x14ac:dyDescent="0.35">
      <c r="A22" s="753"/>
      <c r="B22" s="729" t="s">
        <v>425</v>
      </c>
      <c r="C22" s="734"/>
      <c r="D22" s="738" t="s">
        <v>439</v>
      </c>
      <c r="E22" s="758">
        <v>11.69</v>
      </c>
      <c r="F22" s="730">
        <f>+F21-$H21</f>
        <v>0</v>
      </c>
      <c r="G22" s="731">
        <f>+G21-$H21</f>
        <v>124.79999999999745</v>
      </c>
      <c r="H22" s="350"/>
      <c r="I22" s="957"/>
    </row>
    <row r="23" spans="1:11" x14ac:dyDescent="0.35">
      <c r="A23" s="365"/>
      <c r="B23" s="352" t="s">
        <v>431</v>
      </c>
      <c r="C23" s="732"/>
      <c r="D23" s="739" t="s">
        <v>281</v>
      </c>
      <c r="E23" s="759">
        <v>11.57</v>
      </c>
      <c r="F23" s="733">
        <f>+F22/$H21</f>
        <v>0</v>
      </c>
      <c r="G23" s="733">
        <f>+G22/$H21</f>
        <v>1.0371650821088811E-2</v>
      </c>
      <c r="H23" s="352"/>
      <c r="I23" s="958"/>
    </row>
    <row r="24" spans="1:11" ht="15.5" customHeight="1" x14ac:dyDescent="0.35">
      <c r="A24" s="754" t="s">
        <v>373</v>
      </c>
      <c r="B24" s="726" t="s">
        <v>443</v>
      </c>
      <c r="C24" s="736">
        <v>7.5</v>
      </c>
      <c r="D24" s="737" t="s">
        <v>438</v>
      </c>
      <c r="E24" s="760">
        <v>11.22</v>
      </c>
      <c r="F24" s="748">
        <f>+$C24*$E24*52</f>
        <v>4375.8</v>
      </c>
      <c r="G24" s="748">
        <f>+$C24*$E25*52</f>
        <v>4418.7</v>
      </c>
      <c r="H24" s="748">
        <f>+$C24*$E26*52</f>
        <v>4375.8</v>
      </c>
      <c r="I24" s="959" t="s">
        <v>444</v>
      </c>
    </row>
    <row r="25" spans="1:11" x14ac:dyDescent="0.35">
      <c r="A25" s="753"/>
      <c r="B25" s="729" t="s">
        <v>425</v>
      </c>
      <c r="C25" s="734"/>
      <c r="D25" s="738" t="s">
        <v>439</v>
      </c>
      <c r="E25" s="758">
        <v>11.33</v>
      </c>
      <c r="F25" s="730">
        <f>+F24-$H24</f>
        <v>0</v>
      </c>
      <c r="G25" s="731">
        <f>+G24-$H24</f>
        <v>42.899999999999636</v>
      </c>
      <c r="H25" s="350"/>
      <c r="I25" s="957"/>
    </row>
    <row r="26" spans="1:11" x14ac:dyDescent="0.35">
      <c r="A26" s="365"/>
      <c r="B26" s="352" t="s">
        <v>431</v>
      </c>
      <c r="C26" s="732"/>
      <c r="D26" s="739" t="s">
        <v>281</v>
      </c>
      <c r="E26" s="759">
        <v>11.22</v>
      </c>
      <c r="F26" s="733">
        <f>+F25/$H24</f>
        <v>0</v>
      </c>
      <c r="G26" s="733">
        <f>+G25/$H24</f>
        <v>9.8039215686273676E-3</v>
      </c>
      <c r="H26" s="352"/>
      <c r="I26" s="958"/>
    </row>
    <row r="27" spans="1:11" ht="18.5" customHeight="1" x14ac:dyDescent="0.35">
      <c r="A27" s="754" t="s">
        <v>376</v>
      </c>
      <c r="B27" s="726" t="s">
        <v>426</v>
      </c>
      <c r="C27" s="736">
        <v>40</v>
      </c>
      <c r="D27" s="737" t="s">
        <v>438</v>
      </c>
      <c r="E27" s="760">
        <f>ROUND(+E29*1.02,2)</f>
        <v>17.690000000000001</v>
      </c>
      <c r="F27" s="748">
        <f>+$C27*$E27*52</f>
        <v>36795.200000000004</v>
      </c>
      <c r="G27" s="748">
        <f>+$C27*$E28*52</f>
        <v>36420.800000000003</v>
      </c>
      <c r="H27" s="748">
        <f>+$C27*$E29*52</f>
        <v>36067.200000000004</v>
      </c>
      <c r="I27" s="959" t="s">
        <v>446</v>
      </c>
    </row>
    <row r="28" spans="1:11" ht="18.5" customHeight="1" x14ac:dyDescent="0.35">
      <c r="A28" s="753"/>
      <c r="B28" s="729" t="s">
        <v>425</v>
      </c>
      <c r="C28" s="734"/>
      <c r="D28" s="738" t="s">
        <v>439</v>
      </c>
      <c r="E28" s="758">
        <v>17.510000000000002</v>
      </c>
      <c r="F28" s="730">
        <f>+F27-$H27</f>
        <v>728</v>
      </c>
      <c r="G28" s="731">
        <f>+G27-$H27</f>
        <v>353.59999999999854</v>
      </c>
      <c r="H28" s="350"/>
      <c r="I28" s="957"/>
    </row>
    <row r="29" spans="1:11" x14ac:dyDescent="0.35">
      <c r="A29" s="365"/>
      <c r="B29" s="352" t="s">
        <v>431</v>
      </c>
      <c r="C29" s="732"/>
      <c r="D29" s="739" t="s">
        <v>281</v>
      </c>
      <c r="E29" s="759">
        <v>17.34</v>
      </c>
      <c r="F29" s="733">
        <f>+F28/$H27</f>
        <v>2.0184544405997689E-2</v>
      </c>
      <c r="G29" s="733">
        <f>+G28/$H27</f>
        <v>9.8039215686274092E-3</v>
      </c>
      <c r="H29" s="352"/>
      <c r="I29" s="958"/>
    </row>
    <row r="30" spans="1:11" ht="18.5" customHeight="1" x14ac:dyDescent="0.35">
      <c r="A30" s="753" t="s">
        <v>377</v>
      </c>
      <c r="B30" s="697" t="s">
        <v>445</v>
      </c>
      <c r="C30" s="747">
        <v>15</v>
      </c>
      <c r="D30" s="738" t="s">
        <v>438</v>
      </c>
      <c r="E30" s="758">
        <f>ROUND(+E32*(1+0),2)</f>
        <v>14.57</v>
      </c>
      <c r="F30" s="748">
        <f>+$C30*$E30*52</f>
        <v>11364.6</v>
      </c>
      <c r="G30" s="748">
        <f>+$C30*$E31*52</f>
        <v>11481.6</v>
      </c>
      <c r="H30" s="748">
        <f>+$C30*$E32*52</f>
        <v>11364.6</v>
      </c>
      <c r="I30" s="957" t="s">
        <v>444</v>
      </c>
    </row>
    <row r="31" spans="1:11" ht="18.5" customHeight="1" x14ac:dyDescent="0.35">
      <c r="A31" s="753"/>
      <c r="B31" s="729" t="s">
        <v>425</v>
      </c>
      <c r="C31" s="734"/>
      <c r="D31" s="738" t="s">
        <v>439</v>
      </c>
      <c r="E31" s="758">
        <v>14.72</v>
      </c>
      <c r="F31" s="730">
        <f>+F30-$H30</f>
        <v>0</v>
      </c>
      <c r="G31" s="731">
        <f>+G30-$H30</f>
        <v>117</v>
      </c>
      <c r="H31" s="350"/>
      <c r="I31" s="957"/>
    </row>
    <row r="32" spans="1:11" ht="16" thickBot="1" x14ac:dyDescent="0.4">
      <c r="A32" s="358"/>
      <c r="B32" s="359" t="s">
        <v>431</v>
      </c>
      <c r="C32" s="755"/>
      <c r="D32" s="767" t="s">
        <v>281</v>
      </c>
      <c r="E32" s="768">
        <v>14.57</v>
      </c>
      <c r="F32" s="771">
        <f>+F31/$H30</f>
        <v>0</v>
      </c>
      <c r="G32" s="756">
        <f>+G31/$H30</f>
        <v>1.029512697323267E-2</v>
      </c>
      <c r="H32" s="359"/>
      <c r="I32" s="960"/>
    </row>
    <row r="33" spans="1:9" ht="16" thickBot="1" x14ac:dyDescent="0.4">
      <c r="A33" s="350"/>
      <c r="B33" s="350"/>
      <c r="C33" s="734"/>
      <c r="D33" s="738"/>
      <c r="E33" s="758"/>
      <c r="F33" s="735"/>
      <c r="G33" s="735"/>
      <c r="H33" s="350"/>
      <c r="I33" s="757"/>
    </row>
    <row r="34" spans="1:9" ht="18" x14ac:dyDescent="0.35">
      <c r="A34" s="963" t="s">
        <v>386</v>
      </c>
      <c r="B34" s="964"/>
      <c r="C34" s="964"/>
      <c r="D34" s="964"/>
      <c r="E34" s="964"/>
      <c r="F34" s="965" t="str">
        <f>+F$4</f>
        <v>2022 Budget Proposed</v>
      </c>
      <c r="G34" s="965" t="str">
        <f t="shared" ref="G34:H34" si="1">+G$4</f>
        <v>2022 Budget Current</v>
      </c>
      <c r="H34" s="965" t="str">
        <f t="shared" si="1"/>
        <v>2021 Budget</v>
      </c>
      <c r="I34" s="741"/>
    </row>
    <row r="35" spans="1:9" ht="34" customHeight="1" thickBot="1" x14ac:dyDescent="0.4">
      <c r="A35" s="970"/>
      <c r="B35" s="971"/>
      <c r="C35" s="971"/>
      <c r="D35" s="971"/>
      <c r="E35" s="971"/>
      <c r="F35" s="966"/>
      <c r="G35" s="966"/>
      <c r="H35" s="966"/>
      <c r="I35" s="746" t="str">
        <f>+I$5</f>
        <v>Notes / Rational for change</v>
      </c>
    </row>
    <row r="36" spans="1:9" x14ac:dyDescent="0.35">
      <c r="A36" s="365" t="s">
        <v>448</v>
      </c>
      <c r="B36" s="352"/>
      <c r="C36" s="732"/>
      <c r="D36" s="352"/>
      <c r="E36" s="352"/>
      <c r="F36" s="764">
        <f>+G36</f>
        <v>14264</v>
      </c>
      <c r="G36" s="764">
        <f>3650+10614</f>
        <v>14264</v>
      </c>
      <c r="H36" s="764">
        <f>3501+12642+1</f>
        <v>16144</v>
      </c>
      <c r="I36" s="366"/>
    </row>
    <row r="37" spans="1:9" x14ac:dyDescent="0.35">
      <c r="A37" s="765" t="s">
        <v>48</v>
      </c>
      <c r="B37" s="761"/>
      <c r="C37" s="762"/>
      <c r="D37" s="761"/>
      <c r="E37" s="761"/>
      <c r="F37" s="763">
        <f>+G37</f>
        <v>30259</v>
      </c>
      <c r="G37" s="763">
        <f>800+500+13800+3000+3375+1500+2759+1000+400+700+925+1500</f>
        <v>30259</v>
      </c>
      <c r="H37" s="763">
        <f>800+500+13800+3000+3375+1500+2759+1000+400+700+925+1500</f>
        <v>30259</v>
      </c>
      <c r="I37" s="766" t="s">
        <v>450</v>
      </c>
    </row>
    <row r="38" spans="1:9" x14ac:dyDescent="0.35">
      <c r="A38" s="975" t="s">
        <v>449</v>
      </c>
      <c r="B38" s="976"/>
      <c r="C38" s="736"/>
      <c r="D38" s="737"/>
      <c r="E38" s="760"/>
      <c r="F38" s="770">
        <f>+G38</f>
        <v>188497</v>
      </c>
      <c r="G38" s="770">
        <f>102099+86398</f>
        <v>188497</v>
      </c>
      <c r="H38" s="770">
        <f>100670+48251+18950+8843</f>
        <v>176714</v>
      </c>
      <c r="I38" s="959" t="s">
        <v>451</v>
      </c>
    </row>
    <row r="39" spans="1:9" x14ac:dyDescent="0.35">
      <c r="A39" s="753"/>
      <c r="B39" s="729"/>
      <c r="C39" s="734"/>
      <c r="D39" s="738"/>
      <c r="E39" s="758"/>
      <c r="F39" s="730">
        <f>+F38-$H38</f>
        <v>11783</v>
      </c>
      <c r="G39" s="731">
        <f>+G38-$H38</f>
        <v>11783</v>
      </c>
      <c r="H39" s="350"/>
      <c r="I39" s="957"/>
    </row>
    <row r="40" spans="1:9" ht="16" thickBot="1" x14ac:dyDescent="0.4">
      <c r="A40" s="358"/>
      <c r="B40" s="359"/>
      <c r="C40" s="755"/>
      <c r="D40" s="767"/>
      <c r="E40" s="768"/>
      <c r="F40" s="756">
        <f>+F39/$H38</f>
        <v>6.667836164650226E-2</v>
      </c>
      <c r="G40" s="756">
        <f>+G39/$H38</f>
        <v>6.667836164650226E-2</v>
      </c>
      <c r="H40" s="359"/>
      <c r="I40" s="960"/>
    </row>
    <row r="41" spans="1:9" ht="16" thickBot="1" x14ac:dyDescent="0.4"/>
    <row r="42" spans="1:9" ht="18" x14ac:dyDescent="0.35">
      <c r="A42" s="963" t="s">
        <v>55</v>
      </c>
      <c r="B42" s="964"/>
      <c r="C42" s="964"/>
      <c r="D42" s="964"/>
      <c r="E42" s="964"/>
      <c r="F42" s="974">
        <f>+F6+F9+F12+F18+F21+F24+F27+F30+F36+F37+F38</f>
        <v>342794.4</v>
      </c>
      <c r="G42" s="974">
        <f>+G6+G9+G12+G18+G21+G24+G27+G30+G36+G37+G38</f>
        <v>338375.7</v>
      </c>
      <c r="H42" s="974">
        <f t="shared" ref="H42" si="2">+H6+H9+H12+H18+H21+H24+H27+H30+H36+H37+H38</f>
        <v>331799.40000000002</v>
      </c>
      <c r="I42" s="741"/>
    </row>
    <row r="43" spans="1:9" ht="18.5" thickBot="1" x14ac:dyDescent="0.4">
      <c r="A43" s="970"/>
      <c r="B43" s="971"/>
      <c r="C43" s="971"/>
      <c r="D43" s="971"/>
      <c r="E43" s="971"/>
      <c r="F43" s="966"/>
      <c r="G43" s="966"/>
      <c r="H43" s="966"/>
      <c r="I43" s="746"/>
    </row>
    <row r="45" spans="1:9" x14ac:dyDescent="0.35">
      <c r="F45" s="769"/>
      <c r="G45" s="724"/>
      <c r="H45" s="769"/>
    </row>
  </sheetData>
  <mergeCells count="33">
    <mergeCell ref="A42:E43"/>
    <mergeCell ref="F42:F43"/>
    <mergeCell ref="G42:G43"/>
    <mergeCell ref="H42:H43"/>
    <mergeCell ref="I38:I40"/>
    <mergeCell ref="A38:B38"/>
    <mergeCell ref="I18:I20"/>
    <mergeCell ref="I21:I23"/>
    <mergeCell ref="I24:I26"/>
    <mergeCell ref="I30:I32"/>
    <mergeCell ref="I27:I29"/>
    <mergeCell ref="A16:D16"/>
    <mergeCell ref="H34:H35"/>
    <mergeCell ref="A34:E35"/>
    <mergeCell ref="D6:E8"/>
    <mergeCell ref="D12:E14"/>
    <mergeCell ref="D17:E17"/>
    <mergeCell ref="F34:F35"/>
    <mergeCell ref="G34:G35"/>
    <mergeCell ref="F16:F17"/>
    <mergeCell ref="G16:G17"/>
    <mergeCell ref="H16:H17"/>
    <mergeCell ref="I9:I11"/>
    <mergeCell ref="I6:I8"/>
    <mergeCell ref="I12:I14"/>
    <mergeCell ref="A1:I1"/>
    <mergeCell ref="A2:I2"/>
    <mergeCell ref="A4:D4"/>
    <mergeCell ref="G4:G5"/>
    <mergeCell ref="H4:H5"/>
    <mergeCell ref="G3:H3"/>
    <mergeCell ref="F4:F5"/>
    <mergeCell ref="D9:E11"/>
  </mergeCells>
  <printOptions horizontalCentered="1"/>
  <pageMargins left="0.2" right="0.2" top="0.25" bottom="0.25" header="0.3" footer="0.3"/>
  <pageSetup scale="64" orientation="portrait" horizontalDpi="4294967293"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75"/>
  <sheetViews>
    <sheetView showGridLines="0" topLeftCell="A33" workbookViewId="0">
      <selection activeCell="Y23" sqref="Y23"/>
    </sheetView>
  </sheetViews>
  <sheetFormatPr defaultRowHeight="14.5" outlineLevelCol="1" x14ac:dyDescent="0.35"/>
  <cols>
    <col min="1" max="1" width="49.36328125" style="136" customWidth="1"/>
    <col min="2" max="2" width="10.453125" style="136" hidden="1" customWidth="1" outlineLevel="1"/>
    <col min="3" max="3" width="10" style="136" hidden="1" customWidth="1" outlineLevel="1"/>
    <col min="4" max="6" width="8.7265625" style="136" hidden="1" customWidth="1" outlineLevel="1"/>
    <col min="7" max="7" width="13.90625" style="136" hidden="1" customWidth="1" outlineLevel="1" collapsed="1"/>
    <col min="8" max="9" width="13.90625" style="136" hidden="1" customWidth="1" outlineLevel="1"/>
    <col min="10" max="10" width="23.6328125" style="136" hidden="1" customWidth="1" outlineLevel="1"/>
    <col min="11" max="11" width="13.90625" style="136" customWidth="1" collapsed="1"/>
    <col min="12" max="16" width="13.90625" style="136" hidden="1" customWidth="1"/>
    <col min="17" max="18" width="13.90625" style="136" customWidth="1"/>
    <col min="19" max="22" width="13.90625" style="136" hidden="1" customWidth="1"/>
    <col min="23" max="24" width="8.7265625" style="136"/>
    <col min="25" max="25" width="31.54296875" style="136" customWidth="1"/>
    <col min="26" max="16384" width="8.7265625" style="136"/>
  </cols>
  <sheetData>
    <row r="1" spans="1:25" ht="21" x14ac:dyDescent="0.35">
      <c r="A1" s="977" t="s">
        <v>527</v>
      </c>
      <c r="B1" s="977"/>
      <c r="C1" s="977"/>
      <c r="D1" s="977"/>
      <c r="E1" s="977"/>
      <c r="F1" s="977"/>
      <c r="G1" s="977"/>
      <c r="H1" s="977"/>
      <c r="I1" s="977"/>
      <c r="J1" s="977"/>
      <c r="K1" s="977"/>
      <c r="L1" s="977"/>
      <c r="M1" s="977"/>
      <c r="N1" s="977"/>
      <c r="O1" s="977"/>
      <c r="P1" s="977"/>
      <c r="Q1" s="977"/>
      <c r="R1" s="977"/>
      <c r="S1" s="977"/>
      <c r="T1" s="977"/>
      <c r="U1" s="977"/>
      <c r="V1" s="977"/>
      <c r="W1" s="977"/>
      <c r="X1" s="977"/>
      <c r="Y1" s="977"/>
    </row>
    <row r="2" spans="1:25" x14ac:dyDescent="0.35">
      <c r="K2" s="811"/>
      <c r="L2" s="983"/>
      <c r="M2" s="983"/>
      <c r="N2" s="983"/>
      <c r="O2" s="983"/>
      <c r="P2" s="983"/>
      <c r="Q2" s="839"/>
      <c r="R2" s="983"/>
      <c r="S2" s="983"/>
      <c r="T2" s="983"/>
      <c r="U2" s="983"/>
      <c r="V2" s="984"/>
    </row>
    <row r="3" spans="1:25" ht="43.5" customHeight="1" x14ac:dyDescent="0.35">
      <c r="A3" s="861" t="s">
        <v>567</v>
      </c>
      <c r="B3" s="979">
        <v>2018</v>
      </c>
      <c r="C3" s="980"/>
      <c r="D3" s="980"/>
      <c r="E3" s="980"/>
      <c r="F3" s="981"/>
      <c r="G3" s="410" t="s">
        <v>184</v>
      </c>
      <c r="H3" s="137" t="s">
        <v>202</v>
      </c>
      <c r="I3" s="410" t="s">
        <v>281</v>
      </c>
      <c r="K3" s="828" t="s">
        <v>366</v>
      </c>
      <c r="L3" s="829" t="s">
        <v>359</v>
      </c>
      <c r="M3" s="829" t="s">
        <v>360</v>
      </c>
      <c r="N3" s="830" t="s">
        <v>361</v>
      </c>
      <c r="O3" s="830" t="s">
        <v>362</v>
      </c>
      <c r="P3" s="829" t="s">
        <v>363</v>
      </c>
      <c r="Q3" s="831" t="s">
        <v>457</v>
      </c>
      <c r="R3" s="829" t="s">
        <v>359</v>
      </c>
      <c r="S3" s="583" t="s">
        <v>360</v>
      </c>
      <c r="T3" s="584" t="s">
        <v>361</v>
      </c>
      <c r="U3" s="584" t="s">
        <v>362</v>
      </c>
      <c r="V3" s="583" t="s">
        <v>363</v>
      </c>
      <c r="W3" s="985" t="str">
        <f>"To Buy Back one week of vacation is $"&amp;ROUND(+Q11/52,2)&amp;"0 per week or $"&amp;ROUND(+Q11/52,0)/5&amp;" Per day."</f>
        <v>To Buy Back one week of vacation is $1509.60 per week or $302 Per day.</v>
      </c>
      <c r="X3" s="986"/>
      <c r="Y3" s="986"/>
    </row>
    <row r="4" spans="1:25" ht="14.5" customHeight="1" x14ac:dyDescent="0.35">
      <c r="A4" s="443" t="s">
        <v>38</v>
      </c>
      <c r="B4" s="169">
        <v>52894</v>
      </c>
      <c r="C4" s="123">
        <f>+B7-C6</f>
        <v>46762</v>
      </c>
      <c r="D4" s="123">
        <f>+B7-D6</f>
        <v>46762</v>
      </c>
      <c r="E4" s="123">
        <f>+B4</f>
        <v>52894</v>
      </c>
      <c r="F4" s="133"/>
      <c r="G4" s="170">
        <f>+B7-G6</f>
        <v>46322</v>
      </c>
      <c r="H4" s="170"/>
      <c r="I4" s="170">
        <f>71540-22000</f>
        <v>49540</v>
      </c>
      <c r="K4" s="170">
        <f>+K11-K6</f>
        <v>52510</v>
      </c>
      <c r="L4" s="586">
        <f>+L7-L6</f>
        <v>53618</v>
      </c>
      <c r="M4" s="586">
        <f>+I4*(1+0.02)</f>
        <v>50530.8</v>
      </c>
      <c r="N4" s="586">
        <f>+I4*(1+0.01)</f>
        <v>50035.4</v>
      </c>
      <c r="O4" s="586">
        <f>+I4</f>
        <v>49540</v>
      </c>
      <c r="P4" s="586">
        <f>+I4*(1+0.026)+1110</f>
        <v>51938.04</v>
      </c>
      <c r="Q4" s="139">
        <f>+V4</f>
        <v>56499</v>
      </c>
      <c r="R4" s="586">
        <f>+R7-R6</f>
        <v>58551</v>
      </c>
      <c r="S4" s="586">
        <f t="shared" ref="S4:V4" si="0">+S7-S6</f>
        <v>54000.2</v>
      </c>
      <c r="T4" s="586">
        <f t="shared" si="0"/>
        <v>53255.100000000006</v>
      </c>
      <c r="U4" s="586">
        <f t="shared" si="0"/>
        <v>52510</v>
      </c>
      <c r="V4" s="586">
        <f t="shared" si="0"/>
        <v>56499</v>
      </c>
      <c r="W4" s="987" t="str">
        <f>"For 2022, 20 years of experience plus a COLA 5% per ELCA quidelines = "&amp;ROUND((+Q7-K7)/K7,3)*100&amp;"% increase due to vacation purchase."</f>
        <v>For 2022, 20 years of experience plus a COLA 5% per ELCA quidelines = 5.4% increase due to vacation purchase.</v>
      </c>
      <c r="X4" s="988"/>
      <c r="Y4" s="988"/>
    </row>
    <row r="5" spans="1:25" ht="8" hidden="1" customHeight="1" x14ac:dyDescent="0.35">
      <c r="A5" s="168"/>
      <c r="B5" s="171">
        <v>0.3</v>
      </c>
      <c r="C5" s="125"/>
      <c r="D5" s="125"/>
      <c r="E5" s="124">
        <v>0.3</v>
      </c>
      <c r="F5" s="172"/>
      <c r="G5" s="173"/>
      <c r="H5" s="173"/>
      <c r="I5" s="173"/>
      <c r="K5" s="173"/>
      <c r="L5" s="587"/>
      <c r="M5" s="587"/>
      <c r="N5" s="587"/>
      <c r="O5" s="587"/>
      <c r="P5" s="587"/>
      <c r="Q5" s="140"/>
      <c r="R5" s="587"/>
      <c r="S5" s="587"/>
      <c r="T5" s="587"/>
      <c r="U5" s="587"/>
      <c r="V5" s="587"/>
      <c r="W5" s="987"/>
      <c r="X5" s="988"/>
      <c r="Y5" s="988"/>
    </row>
    <row r="6" spans="1:25" ht="16.5" customHeight="1" thickBot="1" x14ac:dyDescent="0.4">
      <c r="A6" s="168" t="s">
        <v>161</v>
      </c>
      <c r="B6" s="174">
        <f>ROUND(+B4*B5,0)</f>
        <v>15868</v>
      </c>
      <c r="C6" s="127">
        <v>22000</v>
      </c>
      <c r="D6" s="127">
        <f>+C6</f>
        <v>22000</v>
      </c>
      <c r="E6" s="126">
        <f>ROUND(+E4*E5,0)</f>
        <v>15868</v>
      </c>
      <c r="F6" s="130"/>
      <c r="G6" s="175">
        <v>22440</v>
      </c>
      <c r="H6" s="175"/>
      <c r="I6" s="175">
        <v>22000</v>
      </c>
      <c r="K6" s="175">
        <v>22000</v>
      </c>
      <c r="L6" s="588">
        <v>22000</v>
      </c>
      <c r="M6" s="589">
        <f>+I6*(1+0.02)</f>
        <v>22440</v>
      </c>
      <c r="N6" s="589">
        <f>+I6*(1+0.01)</f>
        <v>22220</v>
      </c>
      <c r="O6" s="589">
        <f>+I6</f>
        <v>22000</v>
      </c>
      <c r="P6" s="589">
        <f>+I6*(1+0.026)</f>
        <v>22572</v>
      </c>
      <c r="Q6" s="141">
        <v>22000</v>
      </c>
      <c r="R6" s="589">
        <f>+$Q6</f>
        <v>22000</v>
      </c>
      <c r="S6" s="589">
        <f t="shared" ref="S6:V6" si="1">+$Q6</f>
        <v>22000</v>
      </c>
      <c r="T6" s="589">
        <f t="shared" si="1"/>
        <v>22000</v>
      </c>
      <c r="U6" s="589">
        <f t="shared" si="1"/>
        <v>22000</v>
      </c>
      <c r="V6" s="589">
        <f t="shared" si="1"/>
        <v>22000</v>
      </c>
      <c r="W6" s="987"/>
      <c r="X6" s="988"/>
      <c r="Y6" s="988"/>
    </row>
    <row r="7" spans="1:25" ht="14.5" hidden="1" customHeight="1" x14ac:dyDescent="0.35">
      <c r="A7" s="168" t="s">
        <v>162</v>
      </c>
      <c r="B7" s="176">
        <f>+B4+B6</f>
        <v>68762</v>
      </c>
      <c r="C7" s="177">
        <f>+C4+C6</f>
        <v>68762</v>
      </c>
      <c r="D7" s="177">
        <f>+D4+D6</f>
        <v>68762</v>
      </c>
      <c r="E7" s="177">
        <f>+E4+E6</f>
        <v>68762</v>
      </c>
      <c r="F7" s="178"/>
      <c r="G7" s="179">
        <f>+G4+G6</f>
        <v>68762</v>
      </c>
      <c r="H7" s="179"/>
      <c r="I7" s="179">
        <f>+I4+I6</f>
        <v>71540</v>
      </c>
      <c r="K7" s="179">
        <v>74510</v>
      </c>
      <c r="L7" s="625">
        <v>75618</v>
      </c>
      <c r="M7" s="590">
        <f>+M4+M6</f>
        <v>72970.8</v>
      </c>
      <c r="N7" s="590">
        <f>+N4+N6</f>
        <v>72255.399999999994</v>
      </c>
      <c r="O7" s="590">
        <f>+O4+O6</f>
        <v>71540</v>
      </c>
      <c r="P7" s="590">
        <f>+P4+P6</f>
        <v>74510.040000000008</v>
      </c>
      <c r="Q7" s="142">
        <f>+Q4+Q6</f>
        <v>78499</v>
      </c>
      <c r="R7" s="625">
        <v>80551</v>
      </c>
      <c r="S7" s="590">
        <f>+$K7*(1+0.02)</f>
        <v>76000.2</v>
      </c>
      <c r="T7" s="590">
        <f>+$K7*(1+0.01)</f>
        <v>75255.100000000006</v>
      </c>
      <c r="U7" s="590">
        <f>+$K7*(1+0)</f>
        <v>74510</v>
      </c>
      <c r="V7" s="625">
        <f>ROUND(($K7*(1+0.026))+(R7-($K7*(1+0.026)))/2,0)</f>
        <v>78499</v>
      </c>
      <c r="W7" s="826"/>
      <c r="X7" s="827"/>
      <c r="Y7" s="827"/>
    </row>
    <row r="8" spans="1:25" ht="4" hidden="1" customHeight="1" x14ac:dyDescent="0.35">
      <c r="A8" s="180"/>
      <c r="B8" s="180"/>
      <c r="C8" s="181"/>
      <c r="D8" s="181"/>
      <c r="E8" s="181"/>
      <c r="F8" s="182"/>
      <c r="G8" s="173"/>
      <c r="H8" s="173"/>
      <c r="I8" s="173"/>
      <c r="K8" s="173"/>
      <c r="L8" s="587"/>
      <c r="M8" s="587"/>
      <c r="N8" s="587"/>
      <c r="O8" s="587"/>
      <c r="P8" s="587"/>
      <c r="Q8" s="140"/>
      <c r="R8" s="587"/>
      <c r="S8" s="587"/>
      <c r="T8" s="587"/>
      <c r="U8" s="587"/>
      <c r="V8" s="587"/>
      <c r="W8" s="826"/>
      <c r="X8" s="827"/>
      <c r="Y8" s="827"/>
    </row>
    <row r="9" spans="1:25" ht="14.5" hidden="1" customHeight="1" x14ac:dyDescent="0.35">
      <c r="A9" s="168" t="s">
        <v>172</v>
      </c>
      <c r="B9" s="180"/>
      <c r="C9" s="128">
        <f>(23/24)</f>
        <v>0.95833333333333337</v>
      </c>
      <c r="D9" s="128">
        <f>(23/24)</f>
        <v>0.95833333333333337</v>
      </c>
      <c r="E9" s="128">
        <v>1</v>
      </c>
      <c r="F9" s="129">
        <v>1</v>
      </c>
      <c r="G9" s="183">
        <v>1</v>
      </c>
      <c r="H9" s="183"/>
      <c r="I9" s="183">
        <v>1</v>
      </c>
      <c r="K9" s="183">
        <v>1</v>
      </c>
      <c r="L9" s="591">
        <v>1</v>
      </c>
      <c r="M9" s="591">
        <v>1</v>
      </c>
      <c r="N9" s="591">
        <v>1</v>
      </c>
      <c r="O9" s="591">
        <v>1</v>
      </c>
      <c r="P9" s="591">
        <v>1</v>
      </c>
      <c r="Q9" s="134">
        <v>1</v>
      </c>
      <c r="R9" s="591">
        <v>1</v>
      </c>
      <c r="S9" s="591">
        <v>1</v>
      </c>
      <c r="T9" s="591">
        <v>1</v>
      </c>
      <c r="U9" s="591">
        <v>1</v>
      </c>
      <c r="V9" s="591">
        <v>1</v>
      </c>
      <c r="W9" s="826"/>
      <c r="X9" s="827"/>
      <c r="Y9" s="827"/>
    </row>
    <row r="10" spans="1:25" ht="6.5" hidden="1" customHeight="1" x14ac:dyDescent="0.35">
      <c r="A10" s="180"/>
      <c r="B10" s="180"/>
      <c r="C10" s="181"/>
      <c r="D10" s="181"/>
      <c r="E10" s="181"/>
      <c r="F10" s="182"/>
      <c r="G10" s="173"/>
      <c r="H10" s="173"/>
      <c r="I10" s="173"/>
      <c r="K10" s="173"/>
      <c r="L10" s="587"/>
      <c r="M10" s="587"/>
      <c r="N10" s="587"/>
      <c r="O10" s="587"/>
      <c r="P10" s="587"/>
      <c r="Q10" s="140"/>
      <c r="R10" s="587"/>
      <c r="S10" s="587"/>
      <c r="T10" s="587"/>
      <c r="U10" s="587"/>
      <c r="V10" s="587"/>
      <c r="W10" s="826"/>
      <c r="X10" s="827"/>
      <c r="Y10" s="827"/>
    </row>
    <row r="11" spans="1:25" ht="14.5" hidden="1" customHeight="1" x14ac:dyDescent="0.35">
      <c r="A11" s="187" t="s">
        <v>183</v>
      </c>
      <c r="B11" s="188"/>
      <c r="C11" s="189">
        <f>+C7*C9</f>
        <v>65896.916666666672</v>
      </c>
      <c r="D11" s="189">
        <f>+D7*D9</f>
        <v>65896.916666666672</v>
      </c>
      <c r="E11" s="189">
        <f>+E7*E9</f>
        <v>68762</v>
      </c>
      <c r="F11" s="190">
        <f>+C7*F9</f>
        <v>68762</v>
      </c>
      <c r="G11" s="411">
        <f>ROUND(+G7*(1+G12),0)</f>
        <v>70137</v>
      </c>
      <c r="H11" s="191"/>
      <c r="I11" s="411">
        <f>ROUND(+I7*I9,0)</f>
        <v>71540</v>
      </c>
      <c r="K11" s="567">
        <f t="shared" ref="K11" si="2">ROUND(+K7*K9,0)</f>
        <v>74510</v>
      </c>
      <c r="L11" s="594">
        <f t="shared" ref="L11:P11" si="3">ROUND(+L7*L9,0)</f>
        <v>75618</v>
      </c>
      <c r="M11" s="594">
        <f t="shared" si="3"/>
        <v>72971</v>
      </c>
      <c r="N11" s="594">
        <f t="shared" si="3"/>
        <v>72255</v>
      </c>
      <c r="O11" s="594">
        <f>ROUND(+O7*O9,0)</f>
        <v>71540</v>
      </c>
      <c r="P11" s="594">
        <f t="shared" si="3"/>
        <v>74510</v>
      </c>
      <c r="Q11" s="144">
        <f>ROUND(+Q7*Q9,0)</f>
        <v>78499</v>
      </c>
      <c r="R11" s="594">
        <f t="shared" ref="R11:T11" si="4">ROUND(+R7*R9,0)</f>
        <v>80551</v>
      </c>
      <c r="S11" s="594">
        <f t="shared" si="4"/>
        <v>76000</v>
      </c>
      <c r="T11" s="594">
        <f t="shared" si="4"/>
        <v>75255</v>
      </c>
      <c r="U11" s="594">
        <f>ROUND(+U7*U9,0)</f>
        <v>74510</v>
      </c>
      <c r="V11" s="594">
        <f t="shared" ref="V11" si="5">ROUND(+V7*V9,0)</f>
        <v>78499</v>
      </c>
      <c r="W11" s="826"/>
      <c r="X11" s="827"/>
      <c r="Y11" s="827"/>
    </row>
    <row r="12" spans="1:25" ht="15" hidden="1" thickBot="1" x14ac:dyDescent="0.4">
      <c r="A12" s="168" t="s">
        <v>528</v>
      </c>
      <c r="B12" s="180"/>
      <c r="C12" s="184">
        <v>0</v>
      </c>
      <c r="D12" s="184">
        <v>0</v>
      </c>
      <c r="E12" s="184">
        <v>0</v>
      </c>
      <c r="F12" s="185">
        <v>0</v>
      </c>
      <c r="G12" s="419">
        <v>0.02</v>
      </c>
      <c r="H12" s="186"/>
      <c r="I12" s="627">
        <f>+I11/G11-1</f>
        <v>2.0003707030525897E-2</v>
      </c>
      <c r="K12" s="627">
        <f>+K11/I11-1</f>
        <v>4.1515236231478791E-2</v>
      </c>
      <c r="L12" s="592">
        <f>+L11/O11-1</f>
        <v>5.7003075202683773E-2</v>
      </c>
      <c r="M12" s="592">
        <f>+M11/O11-1</f>
        <v>2.0002795638803361E-2</v>
      </c>
      <c r="N12" s="592">
        <f>+N11/O11-1</f>
        <v>9.9944087223931E-3</v>
      </c>
      <c r="O12" s="593">
        <v>0</v>
      </c>
      <c r="P12" s="592">
        <f>+P11/O11-1</f>
        <v>4.1515236231478791E-2</v>
      </c>
      <c r="Q12" s="448">
        <f>+Q11/K11-1</f>
        <v>5.3536438062005143E-2</v>
      </c>
      <c r="R12" s="592">
        <f>+R11/$K11-1</f>
        <v>8.1076365588511612E-2</v>
      </c>
      <c r="S12" s="592">
        <f>+S11/$K11-1</f>
        <v>1.9997315796537407E-2</v>
      </c>
      <c r="T12" s="592">
        <f>+T11/$K11-1</f>
        <v>9.9986578982687035E-3</v>
      </c>
      <c r="U12" s="592">
        <f>+U11/$K11-1</f>
        <v>0</v>
      </c>
      <c r="V12" s="592">
        <f>+V11/$K11-1</f>
        <v>5.3536438062005143E-2</v>
      </c>
      <c r="W12" s="826"/>
      <c r="X12" s="827"/>
      <c r="Y12" s="827"/>
    </row>
    <row r="13" spans="1:25" ht="15" hidden="1" customHeight="1" x14ac:dyDescent="0.35">
      <c r="A13" s="978" t="s">
        <v>509</v>
      </c>
      <c r="B13" s="180"/>
      <c r="C13" s="181"/>
      <c r="D13" s="181"/>
      <c r="E13" s="181"/>
      <c r="F13" s="182"/>
      <c r="G13" s="173"/>
      <c r="H13" s="173"/>
      <c r="I13" s="173"/>
      <c r="K13" s="173"/>
      <c r="L13" s="587"/>
      <c r="M13" s="587"/>
      <c r="N13" s="587"/>
      <c r="O13" s="587"/>
      <c r="P13" s="587"/>
      <c r="Q13" s="140"/>
      <c r="R13" s="587"/>
      <c r="S13" s="587"/>
      <c r="T13" s="587"/>
      <c r="U13" s="587"/>
      <c r="V13" s="587"/>
      <c r="W13" s="840"/>
      <c r="X13" s="841"/>
      <c r="Y13" s="841"/>
    </row>
    <row r="14" spans="1:25" ht="14.5" hidden="1" customHeight="1" x14ac:dyDescent="0.35">
      <c r="A14" s="978"/>
      <c r="B14" s="180"/>
      <c r="C14" s="123">
        <f>+C28</f>
        <v>0</v>
      </c>
      <c r="D14" s="123">
        <f>+D28</f>
        <v>0</v>
      </c>
      <c r="E14" s="123">
        <f>+E28</f>
        <v>8015</v>
      </c>
      <c r="F14" s="133">
        <f>+F28</f>
        <v>0</v>
      </c>
      <c r="G14" s="192">
        <f>+G30</f>
        <v>2600</v>
      </c>
      <c r="H14" s="192"/>
      <c r="I14" s="192">
        <f>+I30</f>
        <v>3467</v>
      </c>
      <c r="K14" s="192">
        <f>+K30</f>
        <v>0</v>
      </c>
      <c r="L14" s="595">
        <f t="shared" ref="L14:P14" si="6">+L30</f>
        <v>0</v>
      </c>
      <c r="M14" s="595">
        <f t="shared" si="6"/>
        <v>3467</v>
      </c>
      <c r="N14" s="595">
        <f t="shared" si="6"/>
        <v>3467</v>
      </c>
      <c r="O14" s="595">
        <f>+O30</f>
        <v>3467</v>
      </c>
      <c r="P14" s="595">
        <f t="shared" si="6"/>
        <v>3467</v>
      </c>
      <c r="Q14" s="135">
        <f>+Q30</f>
        <v>0</v>
      </c>
      <c r="R14" s="595">
        <f t="shared" ref="R14:T14" si="7">+R30</f>
        <v>0</v>
      </c>
      <c r="S14" s="595">
        <f t="shared" si="7"/>
        <v>0</v>
      </c>
      <c r="T14" s="595">
        <f t="shared" si="7"/>
        <v>0</v>
      </c>
      <c r="U14" s="595">
        <f>+U30</f>
        <v>0</v>
      </c>
      <c r="V14" s="595">
        <f t="shared" ref="V14" si="8">+V30</f>
        <v>0</v>
      </c>
      <c r="W14" s="840"/>
      <c r="X14" s="841"/>
      <c r="Y14" s="841"/>
    </row>
    <row r="15" spans="1:25" ht="8" hidden="1" customHeight="1" thickBot="1" x14ac:dyDescent="0.4">
      <c r="A15" s="193"/>
      <c r="B15" s="180"/>
      <c r="C15" s="181"/>
      <c r="D15" s="181"/>
      <c r="E15" s="181"/>
      <c r="F15" s="182"/>
      <c r="G15" s="173"/>
      <c r="H15" s="173"/>
      <c r="I15" s="173"/>
      <c r="K15" s="173"/>
      <c r="L15" s="587"/>
      <c r="M15" s="587"/>
      <c r="N15" s="587"/>
      <c r="O15" s="587"/>
      <c r="P15" s="587"/>
      <c r="Q15" s="140"/>
      <c r="R15" s="587"/>
      <c r="S15" s="587"/>
      <c r="T15" s="587"/>
      <c r="U15" s="587"/>
      <c r="V15" s="587"/>
      <c r="W15" s="810"/>
      <c r="X15" s="810"/>
      <c r="Y15" s="810"/>
    </row>
    <row r="16" spans="1:25" ht="14.5" customHeight="1" x14ac:dyDescent="0.35">
      <c r="A16" s="187" t="s">
        <v>183</v>
      </c>
      <c r="B16" s="188"/>
      <c r="C16" s="189">
        <f>+C11+C14</f>
        <v>65896.916666666672</v>
      </c>
      <c r="D16" s="189">
        <f>+D11+D14</f>
        <v>65896.916666666672</v>
      </c>
      <c r="E16" s="189">
        <f>+E11+E14</f>
        <v>76777</v>
      </c>
      <c r="F16" s="190">
        <f>+F11+F14</f>
        <v>68762</v>
      </c>
      <c r="G16" s="411">
        <f>+G11+G14</f>
        <v>72737</v>
      </c>
      <c r="H16" s="191">
        <f>50297+22440</f>
        <v>72737</v>
      </c>
      <c r="I16" s="411">
        <f>+I11+I14</f>
        <v>75007</v>
      </c>
      <c r="K16" s="411">
        <f t="shared" ref="K16:V16" si="9">+K11+K14</f>
        <v>74510</v>
      </c>
      <c r="L16" s="594">
        <f t="shared" si="9"/>
        <v>75618</v>
      </c>
      <c r="M16" s="594">
        <f t="shared" si="9"/>
        <v>76438</v>
      </c>
      <c r="N16" s="594">
        <f t="shared" si="9"/>
        <v>75722</v>
      </c>
      <c r="O16" s="594">
        <f t="shared" si="9"/>
        <v>75007</v>
      </c>
      <c r="P16" s="594">
        <f t="shared" si="9"/>
        <v>77977</v>
      </c>
      <c r="Q16" s="144">
        <f t="shared" si="9"/>
        <v>78499</v>
      </c>
      <c r="R16" s="594">
        <f t="shared" si="9"/>
        <v>80551</v>
      </c>
      <c r="S16" s="594">
        <f t="shared" si="9"/>
        <v>76000</v>
      </c>
      <c r="T16" s="594">
        <f t="shared" si="9"/>
        <v>75255</v>
      </c>
      <c r="U16" s="594">
        <f t="shared" si="9"/>
        <v>74510</v>
      </c>
      <c r="V16" s="888">
        <f t="shared" si="9"/>
        <v>78499</v>
      </c>
      <c r="W16" s="989" t="str">
        <f>"Per Pastor Karen's contract for 2022, she receives 4 weeks of vacation (including 4 Sundays).  In addition for 2022, to reach ELCA guidlines Pastor agreed to recieve an additional 1 week and "&amp;ROUNDUP((R11-Q11-(Q11/52))/(Q11/52/5),0)&amp;" days of vacation."</f>
        <v>Per Pastor Karen's contract for 2022, she receives 4 weeks of vacation (including 4 Sundays).  In addition for 2022, to reach ELCA guidlines Pastor agreed to recieve an additional 1 week and 2 days of vacation.</v>
      </c>
      <c r="X16" s="990"/>
      <c r="Y16" s="991"/>
    </row>
    <row r="17" spans="1:25" x14ac:dyDescent="0.35">
      <c r="A17" s="180" t="s">
        <v>551</v>
      </c>
      <c r="B17" s="180"/>
      <c r="C17" s="131">
        <v>7.6499999999999999E-2</v>
      </c>
      <c r="D17" s="131">
        <v>7.6499999999999999E-2</v>
      </c>
      <c r="E17" s="131">
        <v>7.6499999999999999E-2</v>
      </c>
      <c r="F17" s="132">
        <v>7.6499999999999999E-2</v>
      </c>
      <c r="G17" s="194">
        <v>7.6499999999999999E-2</v>
      </c>
      <c r="H17" s="194">
        <v>7.6499999999999999E-2</v>
      </c>
      <c r="I17" s="194">
        <v>7.6499999999999999E-2</v>
      </c>
      <c r="K17" s="449">
        <v>7.6499999999999999E-2</v>
      </c>
      <c r="L17" s="596">
        <v>7.6499999999999999E-2</v>
      </c>
      <c r="M17" s="596">
        <v>7.6499999999999999E-2</v>
      </c>
      <c r="N17" s="596">
        <v>7.6499999999999999E-2</v>
      </c>
      <c r="O17" s="596">
        <v>7.6499999999999999E-2</v>
      </c>
      <c r="P17" s="596">
        <v>7.6499999999999999E-2</v>
      </c>
      <c r="Q17" s="635">
        <v>7.6499999999999999E-2</v>
      </c>
      <c r="R17" s="795">
        <f>+$Q17</f>
        <v>7.6499999999999999E-2</v>
      </c>
      <c r="S17" s="796">
        <f t="shared" ref="S17:V17" si="10">+$Q17</f>
        <v>7.6499999999999999E-2</v>
      </c>
      <c r="T17" s="796">
        <f t="shared" si="10"/>
        <v>7.6499999999999999E-2</v>
      </c>
      <c r="U17" s="796">
        <f t="shared" si="10"/>
        <v>7.6499999999999999E-2</v>
      </c>
      <c r="V17" s="891">
        <f t="shared" si="10"/>
        <v>7.6499999999999999E-2</v>
      </c>
      <c r="W17" s="992"/>
      <c r="X17" s="993"/>
      <c r="Y17" s="994"/>
    </row>
    <row r="18" spans="1:25" x14ac:dyDescent="0.35">
      <c r="A18" s="180" t="s">
        <v>296</v>
      </c>
      <c r="B18" s="180"/>
      <c r="C18" s="123">
        <f t="shared" ref="C18:H18" si="11">+C16*C17</f>
        <v>5041.1141250000001</v>
      </c>
      <c r="D18" s="123">
        <f t="shared" si="11"/>
        <v>5041.1141250000001</v>
      </c>
      <c r="E18" s="123">
        <f t="shared" si="11"/>
        <v>5873.4404999999997</v>
      </c>
      <c r="F18" s="133">
        <f t="shared" si="11"/>
        <v>5260.2929999999997</v>
      </c>
      <c r="G18" s="192">
        <f t="shared" si="11"/>
        <v>5564.3805000000002</v>
      </c>
      <c r="H18" s="192">
        <f t="shared" si="11"/>
        <v>5564.3805000000002</v>
      </c>
      <c r="I18" s="192">
        <f>ROUND(+I16*I17,0)</f>
        <v>5738</v>
      </c>
      <c r="J18" s="143"/>
      <c r="K18" s="192">
        <f t="shared" ref="K18:V18" si="12">ROUND(+K16*K17,0)</f>
        <v>5700</v>
      </c>
      <c r="L18" s="595">
        <f t="shared" si="12"/>
        <v>5785</v>
      </c>
      <c r="M18" s="595">
        <f t="shared" si="12"/>
        <v>5848</v>
      </c>
      <c r="N18" s="595">
        <f t="shared" si="12"/>
        <v>5793</v>
      </c>
      <c r="O18" s="595">
        <f t="shared" si="12"/>
        <v>5738</v>
      </c>
      <c r="P18" s="595">
        <f t="shared" si="12"/>
        <v>5965</v>
      </c>
      <c r="Q18" s="135">
        <f t="shared" si="12"/>
        <v>6005</v>
      </c>
      <c r="R18" s="595">
        <f t="shared" si="12"/>
        <v>6162</v>
      </c>
      <c r="S18" s="595">
        <f t="shared" si="12"/>
        <v>5814</v>
      </c>
      <c r="T18" s="595">
        <f t="shared" si="12"/>
        <v>5757</v>
      </c>
      <c r="U18" s="595">
        <f t="shared" si="12"/>
        <v>5700</v>
      </c>
      <c r="V18" s="886">
        <f t="shared" si="12"/>
        <v>6005</v>
      </c>
      <c r="W18" s="992"/>
      <c r="X18" s="993"/>
      <c r="Y18" s="994"/>
    </row>
    <row r="19" spans="1:25" ht="15" thickBot="1" x14ac:dyDescent="0.4">
      <c r="A19" s="195" t="s">
        <v>186</v>
      </c>
      <c r="B19" s="196"/>
      <c r="C19" s="197">
        <f t="shared" ref="C19:I19" si="13">+C16+C18</f>
        <v>70938.030791666679</v>
      </c>
      <c r="D19" s="197">
        <f t="shared" si="13"/>
        <v>70938.030791666679</v>
      </c>
      <c r="E19" s="197">
        <f t="shared" si="13"/>
        <v>82650.440499999997</v>
      </c>
      <c r="F19" s="198">
        <f t="shared" si="13"/>
        <v>74022.293000000005</v>
      </c>
      <c r="G19" s="199">
        <f t="shared" si="13"/>
        <v>78301.380499999999</v>
      </c>
      <c r="H19" s="199">
        <f t="shared" si="13"/>
        <v>78301.380499999999</v>
      </c>
      <c r="I19" s="199">
        <f t="shared" si="13"/>
        <v>80745</v>
      </c>
      <c r="K19" s="199">
        <f t="shared" ref="K19:V19" si="14">+K16+K18</f>
        <v>80210</v>
      </c>
      <c r="L19" s="597">
        <f t="shared" si="14"/>
        <v>81403</v>
      </c>
      <c r="M19" s="597">
        <f t="shared" si="14"/>
        <v>82286</v>
      </c>
      <c r="N19" s="597">
        <f t="shared" si="14"/>
        <v>81515</v>
      </c>
      <c r="O19" s="597">
        <f t="shared" si="14"/>
        <v>80745</v>
      </c>
      <c r="P19" s="597">
        <f t="shared" si="14"/>
        <v>83942</v>
      </c>
      <c r="Q19" s="146">
        <f t="shared" si="14"/>
        <v>84504</v>
      </c>
      <c r="R19" s="597">
        <f t="shared" si="14"/>
        <v>86713</v>
      </c>
      <c r="S19" s="597">
        <f t="shared" si="14"/>
        <v>81814</v>
      </c>
      <c r="T19" s="597">
        <f t="shared" si="14"/>
        <v>81012</v>
      </c>
      <c r="U19" s="597">
        <f t="shared" si="14"/>
        <v>80210</v>
      </c>
      <c r="V19" s="890">
        <f t="shared" si="14"/>
        <v>84504</v>
      </c>
      <c r="W19" s="995"/>
      <c r="X19" s="996"/>
      <c r="Y19" s="997"/>
    </row>
    <row r="20" spans="1:25" x14ac:dyDescent="0.35">
      <c r="A20" s="200"/>
      <c r="B20" s="200"/>
      <c r="C20" s="200"/>
      <c r="D20" s="200"/>
      <c r="E20" s="200"/>
      <c r="F20" s="200"/>
      <c r="G20" s="200"/>
      <c r="H20" s="200"/>
      <c r="I20" s="200"/>
      <c r="K20" s="200"/>
      <c r="L20" s="200"/>
      <c r="M20" s="200"/>
      <c r="N20" s="200"/>
      <c r="O20" s="200"/>
      <c r="P20" s="200"/>
      <c r="Q20" s="200"/>
      <c r="R20" s="200"/>
      <c r="S20" s="200"/>
      <c r="T20" s="200"/>
      <c r="U20" s="200"/>
      <c r="V20" s="200"/>
      <c r="W20" s="895"/>
      <c r="X20" s="895"/>
      <c r="Y20" s="895"/>
    </row>
    <row r="21" spans="1:25" x14ac:dyDescent="0.35">
      <c r="A21" s="201" t="s">
        <v>191</v>
      </c>
      <c r="B21" s="166"/>
      <c r="C21" s="202"/>
      <c r="D21" s="202"/>
      <c r="E21" s="202"/>
      <c r="F21" s="203"/>
      <c r="G21" s="167"/>
      <c r="H21" s="203"/>
      <c r="I21" s="167"/>
      <c r="K21" s="167"/>
      <c r="L21" s="585"/>
      <c r="M21" s="598"/>
      <c r="N21" s="598"/>
      <c r="O21" s="598"/>
      <c r="P21" s="598"/>
      <c r="Q21" s="138"/>
      <c r="R21" s="585"/>
      <c r="S21" s="598"/>
      <c r="T21" s="598"/>
      <c r="U21" s="598"/>
      <c r="V21" s="892"/>
      <c r="W21" s="895"/>
      <c r="X21" s="895"/>
      <c r="Y21" s="895"/>
    </row>
    <row r="22" spans="1:25" x14ac:dyDescent="0.35">
      <c r="A22" s="180" t="s">
        <v>187</v>
      </c>
      <c r="B22" s="180"/>
      <c r="C22" s="123">
        <f>6011.15*C9</f>
        <v>5760.6854166666662</v>
      </c>
      <c r="D22" s="123"/>
      <c r="E22" s="123">
        <f>6011.15*E9</f>
        <v>6011.15</v>
      </c>
      <c r="F22" s="133">
        <f>6011.15</f>
        <v>6011.15</v>
      </c>
      <c r="G22" s="416">
        <v>4973</v>
      </c>
      <c r="H22" s="130"/>
      <c r="I22" s="416">
        <v>5121</v>
      </c>
      <c r="J22" s="565"/>
      <c r="K22" s="416">
        <v>5121</v>
      </c>
      <c r="L22" s="599">
        <v>5121</v>
      </c>
      <c r="M22" s="600">
        <v>5121</v>
      </c>
      <c r="N22" s="600">
        <v>5121</v>
      </c>
      <c r="O22" s="600">
        <v>5121</v>
      </c>
      <c r="P22" s="600">
        <v>5121</v>
      </c>
      <c r="Q22" s="634">
        <v>5385</v>
      </c>
      <c r="R22" s="595">
        <f>+$Q22</f>
        <v>5385</v>
      </c>
      <c r="S22" s="595">
        <f t="shared" ref="S22:V23" si="15">+$Q22</f>
        <v>5385</v>
      </c>
      <c r="T22" s="595">
        <f t="shared" si="15"/>
        <v>5385</v>
      </c>
      <c r="U22" s="595">
        <f t="shared" si="15"/>
        <v>5385</v>
      </c>
      <c r="V22" s="595">
        <f t="shared" si="15"/>
        <v>5385</v>
      </c>
      <c r="W22" s="136" t="s">
        <v>476</v>
      </c>
    </row>
    <row r="23" spans="1:25" x14ac:dyDescent="0.35">
      <c r="A23" s="180" t="s">
        <v>209</v>
      </c>
      <c r="B23" s="180"/>
      <c r="C23" s="122">
        <v>0</v>
      </c>
      <c r="D23" s="122">
        <v>0</v>
      </c>
      <c r="E23" s="122">
        <v>0</v>
      </c>
      <c r="F23" s="130">
        <v>0</v>
      </c>
      <c r="G23" s="416">
        <v>2600</v>
      </c>
      <c r="H23" s="130"/>
      <c r="I23" s="416">
        <v>2600</v>
      </c>
      <c r="J23" s="143"/>
      <c r="K23" s="416">
        <v>2600</v>
      </c>
      <c r="L23" s="599">
        <v>2600</v>
      </c>
      <c r="M23" s="600">
        <v>2600</v>
      </c>
      <c r="N23" s="600">
        <v>2600</v>
      </c>
      <c r="O23" s="600">
        <v>2600</v>
      </c>
      <c r="P23" s="600">
        <v>2600</v>
      </c>
      <c r="Q23" s="634">
        <v>4420</v>
      </c>
      <c r="R23" s="595">
        <f>+$Q23</f>
        <v>4420</v>
      </c>
      <c r="S23" s="595">
        <f t="shared" si="15"/>
        <v>4420</v>
      </c>
      <c r="T23" s="595">
        <f t="shared" si="15"/>
        <v>4420</v>
      </c>
      <c r="U23" s="595">
        <f t="shared" si="15"/>
        <v>4420</v>
      </c>
      <c r="V23" s="595">
        <f t="shared" si="15"/>
        <v>4420</v>
      </c>
      <c r="W23" s="136" t="s">
        <v>476</v>
      </c>
    </row>
    <row r="24" spans="1:25" ht="14.5" hidden="1" customHeight="1" x14ac:dyDescent="0.35">
      <c r="A24" s="180" t="s">
        <v>210</v>
      </c>
      <c r="B24" s="180"/>
      <c r="C24" s="123">
        <f>+C22+C23</f>
        <v>5760.6854166666662</v>
      </c>
      <c r="D24" s="123">
        <f>+D22+D23</f>
        <v>0</v>
      </c>
      <c r="E24" s="123">
        <f>+E22+E23</f>
        <v>6011.15</v>
      </c>
      <c r="F24" s="133">
        <f>+F22+F23</f>
        <v>6011.15</v>
      </c>
      <c r="G24" s="192">
        <f>+G22+G23</f>
        <v>7573</v>
      </c>
      <c r="H24" s="130"/>
      <c r="I24" s="192">
        <f>+I22+I23</f>
        <v>7721</v>
      </c>
      <c r="J24" s="982" t="s">
        <v>307</v>
      </c>
      <c r="K24" s="192">
        <f>+K22+K23</f>
        <v>7721</v>
      </c>
      <c r="L24" s="595">
        <f t="shared" ref="L24:P24" si="16">+L22+L23</f>
        <v>7721</v>
      </c>
      <c r="M24" s="601">
        <f t="shared" si="16"/>
        <v>7721</v>
      </c>
      <c r="N24" s="601">
        <f t="shared" si="16"/>
        <v>7721</v>
      </c>
      <c r="O24" s="601">
        <f>+O22+O23</f>
        <v>7721</v>
      </c>
      <c r="P24" s="601">
        <f t="shared" si="16"/>
        <v>7721</v>
      </c>
      <c r="Q24" s="135">
        <f>+Q22+Q23</f>
        <v>9805</v>
      </c>
      <c r="R24" s="595">
        <f t="shared" ref="R24:T24" si="17">+R22+R23</f>
        <v>9805</v>
      </c>
      <c r="S24" s="601">
        <f t="shared" si="17"/>
        <v>9805</v>
      </c>
      <c r="T24" s="601">
        <f t="shared" si="17"/>
        <v>9805</v>
      </c>
      <c r="U24" s="601">
        <f>+U22+U23</f>
        <v>9805</v>
      </c>
      <c r="V24" s="601">
        <f t="shared" ref="V24" si="18">+V22+V23</f>
        <v>9805</v>
      </c>
    </row>
    <row r="25" spans="1:25" ht="5" hidden="1" customHeight="1" x14ac:dyDescent="0.35">
      <c r="A25" s="180"/>
      <c r="B25" s="180"/>
      <c r="C25" s="131">
        <v>0.25</v>
      </c>
      <c r="D25" s="131"/>
      <c r="E25" s="131">
        <v>0.25</v>
      </c>
      <c r="F25" s="132">
        <v>0.25</v>
      </c>
      <c r="G25" s="449">
        <v>0.25</v>
      </c>
      <c r="H25" s="132"/>
      <c r="I25" s="449"/>
      <c r="J25" s="982"/>
      <c r="K25" s="449"/>
      <c r="L25" s="602"/>
      <c r="M25" s="603"/>
      <c r="N25" s="603"/>
      <c r="O25" s="603"/>
      <c r="P25" s="603"/>
      <c r="Q25" s="635"/>
      <c r="R25" s="602"/>
      <c r="S25" s="603"/>
      <c r="T25" s="603"/>
      <c r="U25" s="603"/>
      <c r="V25" s="603"/>
    </row>
    <row r="26" spans="1:25" hidden="1" x14ac:dyDescent="0.35">
      <c r="A26" s="188" t="s">
        <v>189</v>
      </c>
      <c r="B26" s="188"/>
      <c r="C26" s="204">
        <f>ROUND(+C24/(1-C25),0)</f>
        <v>7681</v>
      </c>
      <c r="D26" s="205">
        <v>8015</v>
      </c>
      <c r="E26" s="204">
        <f>ROUND(+E24/(1-E25),0)</f>
        <v>8015</v>
      </c>
      <c r="F26" s="204">
        <f>ROUND(+F24/(1-F25),0)</f>
        <v>8015</v>
      </c>
      <c r="G26" s="417">
        <f>ROUND(+G24/(1-G25),0)</f>
        <v>10097</v>
      </c>
      <c r="H26" s="206"/>
      <c r="I26" s="417">
        <f>+I24</f>
        <v>7721</v>
      </c>
      <c r="J26" s="982"/>
      <c r="K26" s="417">
        <f>+K22+K23</f>
        <v>7721</v>
      </c>
      <c r="L26" s="604">
        <f t="shared" ref="L26:P26" si="19">+L24</f>
        <v>7721</v>
      </c>
      <c r="M26" s="605">
        <f t="shared" si="19"/>
        <v>7721</v>
      </c>
      <c r="N26" s="605">
        <f t="shared" si="19"/>
        <v>7721</v>
      </c>
      <c r="O26" s="605">
        <f>+O24</f>
        <v>7721</v>
      </c>
      <c r="P26" s="605">
        <f t="shared" si="19"/>
        <v>7721</v>
      </c>
      <c r="Q26" s="636">
        <f>+Q22+Q23</f>
        <v>9805</v>
      </c>
      <c r="R26" s="604">
        <f t="shared" ref="R26:T26" si="20">+R24</f>
        <v>9805</v>
      </c>
      <c r="S26" s="605">
        <f t="shared" si="20"/>
        <v>9805</v>
      </c>
      <c r="T26" s="605">
        <f t="shared" si="20"/>
        <v>9805</v>
      </c>
      <c r="U26" s="605">
        <f>+U24</f>
        <v>9805</v>
      </c>
      <c r="V26" s="605">
        <f t="shared" ref="V26" si="21">+V24</f>
        <v>9805</v>
      </c>
      <c r="W26" s="136" t="s">
        <v>550</v>
      </c>
    </row>
    <row r="27" spans="1:25" ht="3.5" hidden="1" customHeight="1" x14ac:dyDescent="0.35">
      <c r="A27" s="180"/>
      <c r="B27" s="180"/>
      <c r="C27" s="123"/>
      <c r="D27" s="123"/>
      <c r="E27" s="123"/>
      <c r="F27" s="182"/>
      <c r="G27" s="173"/>
      <c r="H27" s="182"/>
      <c r="I27" s="173"/>
      <c r="J27" s="982"/>
      <c r="K27" s="173"/>
      <c r="L27" s="587"/>
      <c r="M27" s="606"/>
      <c r="N27" s="606"/>
      <c r="O27" s="606"/>
      <c r="P27" s="606"/>
      <c r="Q27" s="140"/>
      <c r="R27" s="587"/>
      <c r="S27" s="606"/>
      <c r="T27" s="606"/>
      <c r="U27" s="606"/>
      <c r="V27" s="606"/>
    </row>
    <row r="28" spans="1:25" hidden="1" x14ac:dyDescent="0.35">
      <c r="A28" s="180" t="s">
        <v>308</v>
      </c>
      <c r="B28" s="180"/>
      <c r="C28" s="122">
        <v>0</v>
      </c>
      <c r="D28" s="122">
        <v>0</v>
      </c>
      <c r="E28" s="122">
        <v>8015</v>
      </c>
      <c r="F28" s="130">
        <v>0</v>
      </c>
      <c r="G28" s="416"/>
      <c r="H28" s="130"/>
      <c r="I28" s="416">
        <v>2600</v>
      </c>
      <c r="J28" s="982"/>
      <c r="K28" s="416">
        <v>0</v>
      </c>
      <c r="L28" s="599">
        <v>0</v>
      </c>
      <c r="M28" s="600">
        <v>2600</v>
      </c>
      <c r="N28" s="600">
        <v>2600</v>
      </c>
      <c r="O28" s="600">
        <v>2600</v>
      </c>
      <c r="P28" s="600">
        <v>2600</v>
      </c>
      <c r="Q28" s="634">
        <v>0</v>
      </c>
      <c r="R28" s="595">
        <f>+$Q28</f>
        <v>0</v>
      </c>
      <c r="S28" s="595">
        <f t="shared" ref="S28:V28" si="22">+$Q28</f>
        <v>0</v>
      </c>
      <c r="T28" s="595">
        <f t="shared" si="22"/>
        <v>0</v>
      </c>
      <c r="U28" s="595">
        <f t="shared" si="22"/>
        <v>0</v>
      </c>
      <c r="V28" s="595">
        <f t="shared" si="22"/>
        <v>0</v>
      </c>
    </row>
    <row r="29" spans="1:25" hidden="1" x14ac:dyDescent="0.35">
      <c r="A29" s="180" t="s">
        <v>529</v>
      </c>
      <c r="B29" s="180"/>
      <c r="C29" s="131">
        <v>0.25</v>
      </c>
      <c r="D29" s="131"/>
      <c r="E29" s="131">
        <v>0.25</v>
      </c>
      <c r="F29" s="132">
        <v>0.25</v>
      </c>
      <c r="G29" s="194"/>
      <c r="H29" s="132"/>
      <c r="I29" s="449">
        <v>0.25</v>
      </c>
      <c r="J29" s="982"/>
      <c r="K29" s="449">
        <v>0.25</v>
      </c>
      <c r="L29" s="602">
        <v>0.25</v>
      </c>
      <c r="M29" s="603">
        <v>0.25</v>
      </c>
      <c r="N29" s="603">
        <v>0.25</v>
      </c>
      <c r="O29" s="603">
        <v>0.25</v>
      </c>
      <c r="P29" s="603">
        <v>0.25</v>
      </c>
      <c r="Q29" s="635">
        <v>0.25</v>
      </c>
      <c r="R29" s="795">
        <f>+$Q29</f>
        <v>0.25</v>
      </c>
      <c r="S29" s="795">
        <f t="shared" ref="S29:V29" si="23">+$Q29</f>
        <v>0.25</v>
      </c>
      <c r="T29" s="795">
        <f t="shared" si="23"/>
        <v>0.25</v>
      </c>
      <c r="U29" s="795">
        <f t="shared" si="23"/>
        <v>0.25</v>
      </c>
      <c r="V29" s="795">
        <f t="shared" si="23"/>
        <v>0.25</v>
      </c>
    </row>
    <row r="30" spans="1:25" hidden="1" x14ac:dyDescent="0.35">
      <c r="A30" s="188" t="s">
        <v>341</v>
      </c>
      <c r="B30" s="188"/>
      <c r="C30" s="451"/>
      <c r="D30" s="451"/>
      <c r="E30" s="451"/>
      <c r="F30" s="452"/>
      <c r="G30" s="453">
        <v>2600</v>
      </c>
      <c r="H30" s="452"/>
      <c r="I30" s="417">
        <f>ROUND(+I28/(1-I29),0)</f>
        <v>3467</v>
      </c>
      <c r="J30" s="450"/>
      <c r="K30" s="417">
        <f>ROUND(+K28/(1-K29),0)</f>
        <v>0</v>
      </c>
      <c r="L30" s="604">
        <f t="shared" ref="L30:P30" si="24">ROUND(+L28/(1-L29),0)</f>
        <v>0</v>
      </c>
      <c r="M30" s="605">
        <f t="shared" si="24"/>
        <v>3467</v>
      </c>
      <c r="N30" s="605">
        <f t="shared" si="24"/>
        <v>3467</v>
      </c>
      <c r="O30" s="605">
        <f>ROUND(+O28/(1-O29),0)</f>
        <v>3467</v>
      </c>
      <c r="P30" s="605">
        <f t="shared" si="24"/>
        <v>3467</v>
      </c>
      <c r="Q30" s="636">
        <f>ROUND(+Q28/(1-Q29),0)</f>
        <v>0</v>
      </c>
      <c r="R30" s="604">
        <f t="shared" ref="R30:T30" si="25">ROUND(+R28/(1-R29),0)</f>
        <v>0</v>
      </c>
      <c r="S30" s="605">
        <f t="shared" si="25"/>
        <v>0</v>
      </c>
      <c r="T30" s="605">
        <f t="shared" si="25"/>
        <v>0</v>
      </c>
      <c r="U30" s="605">
        <f>ROUND(+U28/(1-U29),0)</f>
        <v>0</v>
      </c>
      <c r="V30" s="605">
        <f t="shared" ref="V30" si="26">ROUND(+V28/(1-V29),0)</f>
        <v>0</v>
      </c>
    </row>
    <row r="31" spans="1:25" x14ac:dyDescent="0.35">
      <c r="A31" s="195" t="s">
        <v>190</v>
      </c>
      <c r="B31" s="195"/>
      <c r="C31" s="197">
        <f>+C26-C28</f>
        <v>7681</v>
      </c>
      <c r="D31" s="197">
        <f>+D26-D28</f>
        <v>8015</v>
      </c>
      <c r="E31" s="197">
        <f>+E26-E28</f>
        <v>0</v>
      </c>
      <c r="F31" s="198">
        <f>+F26-F28</f>
        <v>8015</v>
      </c>
      <c r="G31" s="199">
        <f>+G26-G30</f>
        <v>7497</v>
      </c>
      <c r="H31" s="198"/>
      <c r="I31" s="199">
        <f>+I24-I28</f>
        <v>5121</v>
      </c>
      <c r="K31" s="199">
        <f>+K24-K28</f>
        <v>7721</v>
      </c>
      <c r="L31" s="597">
        <f t="shared" ref="L31:P31" si="27">+L24-L28</f>
        <v>7721</v>
      </c>
      <c r="M31" s="607">
        <f t="shared" si="27"/>
        <v>5121</v>
      </c>
      <c r="N31" s="607">
        <f t="shared" si="27"/>
        <v>5121</v>
      </c>
      <c r="O31" s="607">
        <f>+O24-O28</f>
        <v>5121</v>
      </c>
      <c r="P31" s="607">
        <f t="shared" si="27"/>
        <v>5121</v>
      </c>
      <c r="Q31" s="146">
        <f>+Q24-Q28</f>
        <v>9805</v>
      </c>
      <c r="R31" s="597">
        <f t="shared" ref="R31:T31" si="28">+R24-R28</f>
        <v>9805</v>
      </c>
      <c r="S31" s="607">
        <f t="shared" si="28"/>
        <v>9805</v>
      </c>
      <c r="T31" s="607">
        <f t="shared" si="28"/>
        <v>9805</v>
      </c>
      <c r="U31" s="607">
        <f>+U24-U28</f>
        <v>9805</v>
      </c>
      <c r="V31" s="607">
        <f t="shared" ref="V31" si="29">+V24-V28</f>
        <v>9805</v>
      </c>
    </row>
    <row r="32" spans="1:25" x14ac:dyDescent="0.35">
      <c r="A32" s="200"/>
      <c r="B32" s="200"/>
      <c r="C32" s="200"/>
      <c r="D32" s="200"/>
      <c r="E32" s="200"/>
      <c r="F32" s="200"/>
      <c r="G32" s="200"/>
      <c r="H32" s="200"/>
      <c r="I32" s="200"/>
      <c r="K32" s="200"/>
      <c r="L32" s="200"/>
      <c r="M32" s="200"/>
      <c r="N32" s="200"/>
      <c r="O32" s="200"/>
      <c r="P32" s="200"/>
      <c r="Q32" s="200"/>
      <c r="R32" s="200"/>
      <c r="S32" s="200"/>
      <c r="T32" s="200"/>
      <c r="U32" s="200"/>
      <c r="V32" s="200"/>
    </row>
    <row r="33" spans="1:22" x14ac:dyDescent="0.35">
      <c r="A33" s="201" t="s">
        <v>530</v>
      </c>
      <c r="B33" s="166"/>
      <c r="C33" s="207">
        <v>0.11</v>
      </c>
      <c r="D33" s="207">
        <v>0.11</v>
      </c>
      <c r="E33" s="207">
        <v>0.11</v>
      </c>
      <c r="F33" s="207">
        <v>0.11</v>
      </c>
      <c r="G33" s="418">
        <v>0.11</v>
      </c>
      <c r="H33" s="207"/>
      <c r="I33" s="418">
        <v>0.11</v>
      </c>
      <c r="K33" s="418">
        <v>0.11</v>
      </c>
      <c r="L33" s="613">
        <v>0.11</v>
      </c>
      <c r="M33" s="608">
        <v>0.11</v>
      </c>
      <c r="N33" s="608">
        <v>0.11</v>
      </c>
      <c r="O33" s="608">
        <v>0.11</v>
      </c>
      <c r="P33" s="608">
        <v>0.11</v>
      </c>
      <c r="Q33" s="630">
        <v>0.11</v>
      </c>
      <c r="R33" s="794">
        <f>+$Q33</f>
        <v>0.11</v>
      </c>
      <c r="S33" s="794">
        <f t="shared" ref="S33:V33" si="30">+$Q33</f>
        <v>0.11</v>
      </c>
      <c r="T33" s="794">
        <f t="shared" si="30"/>
        <v>0.11</v>
      </c>
      <c r="U33" s="794">
        <f t="shared" si="30"/>
        <v>0.11</v>
      </c>
      <c r="V33" s="794">
        <f t="shared" si="30"/>
        <v>0.11</v>
      </c>
    </row>
    <row r="34" spans="1:22" x14ac:dyDescent="0.35">
      <c r="A34" s="180" t="s">
        <v>194</v>
      </c>
      <c r="B34" s="180"/>
      <c r="C34" s="153">
        <f>+C19</f>
        <v>70938.030791666679</v>
      </c>
      <c r="D34" s="153">
        <f>+D19</f>
        <v>70938.030791666679</v>
      </c>
      <c r="E34" s="153">
        <f>+E19</f>
        <v>82650.440499999997</v>
      </c>
      <c r="F34" s="153">
        <f>+F19</f>
        <v>74022.293000000005</v>
      </c>
      <c r="G34" s="170">
        <f>+G19</f>
        <v>78301.380499999999</v>
      </c>
      <c r="H34" s="153"/>
      <c r="I34" s="170">
        <f>+I19</f>
        <v>80745</v>
      </c>
      <c r="K34" s="170">
        <f>+K19</f>
        <v>80210</v>
      </c>
      <c r="L34" s="586">
        <f t="shared" ref="L34:P34" si="31">+L19</f>
        <v>81403</v>
      </c>
      <c r="M34" s="609">
        <f t="shared" si="31"/>
        <v>82286</v>
      </c>
      <c r="N34" s="609">
        <f t="shared" si="31"/>
        <v>81515</v>
      </c>
      <c r="O34" s="609">
        <f>+O19</f>
        <v>80745</v>
      </c>
      <c r="P34" s="609">
        <f t="shared" si="31"/>
        <v>83942</v>
      </c>
      <c r="Q34" s="139">
        <f>+Q19</f>
        <v>84504</v>
      </c>
      <c r="R34" s="586">
        <f t="shared" ref="R34:T34" si="32">+R19</f>
        <v>86713</v>
      </c>
      <c r="S34" s="609">
        <f t="shared" si="32"/>
        <v>81814</v>
      </c>
      <c r="T34" s="609">
        <f t="shared" si="32"/>
        <v>81012</v>
      </c>
      <c r="U34" s="609">
        <f>+U19</f>
        <v>80210</v>
      </c>
      <c r="V34" s="609">
        <f t="shared" ref="V34" si="33">+V19</f>
        <v>84504</v>
      </c>
    </row>
    <row r="35" spans="1:22" x14ac:dyDescent="0.35">
      <c r="A35" s="180" t="s">
        <v>165</v>
      </c>
      <c r="B35" s="180"/>
      <c r="C35" s="153">
        <f>+C34*C33</f>
        <v>7803.1833870833343</v>
      </c>
      <c r="D35" s="209">
        <f>((+D34+D36)+(D17*D26))*D33</f>
        <v>8752.2796120833355</v>
      </c>
      <c r="E35" s="153">
        <f>+E34*E33</f>
        <v>9091.5484550000001</v>
      </c>
      <c r="F35" s="153">
        <f>+F34*F33</f>
        <v>8142.4522300000008</v>
      </c>
      <c r="G35" s="170">
        <f>ROUND(+G34*G33,0)</f>
        <v>8613</v>
      </c>
      <c r="H35" s="217">
        <v>8613</v>
      </c>
      <c r="I35" s="170">
        <f>ROUND(+I34*I33,0)</f>
        <v>8882</v>
      </c>
      <c r="K35" s="170">
        <f>ROUND(+K34*K33,0)</f>
        <v>8823</v>
      </c>
      <c r="L35" s="586">
        <f t="shared" ref="L35:P35" si="34">ROUND(+L34*L33,0)</f>
        <v>8954</v>
      </c>
      <c r="M35" s="609">
        <f t="shared" si="34"/>
        <v>9051</v>
      </c>
      <c r="N35" s="609">
        <f t="shared" si="34"/>
        <v>8967</v>
      </c>
      <c r="O35" s="609">
        <f>ROUND(+O34*O33,0)</f>
        <v>8882</v>
      </c>
      <c r="P35" s="609">
        <f t="shared" si="34"/>
        <v>9234</v>
      </c>
      <c r="Q35" s="139">
        <f>ROUND(+Q34*Q33,0)</f>
        <v>9295</v>
      </c>
      <c r="R35" s="586">
        <f t="shared" ref="R35:T35" si="35">ROUND(+R34*R33,0)</f>
        <v>9538</v>
      </c>
      <c r="S35" s="609">
        <f t="shared" si="35"/>
        <v>9000</v>
      </c>
      <c r="T35" s="609">
        <f t="shared" si="35"/>
        <v>8911</v>
      </c>
      <c r="U35" s="609">
        <f>ROUND(+U34*U33,0)</f>
        <v>8823</v>
      </c>
      <c r="V35" s="609">
        <f t="shared" ref="V35" si="36">ROUND(+V34*V33,0)</f>
        <v>9295</v>
      </c>
    </row>
    <row r="36" spans="1:22" x14ac:dyDescent="0.35">
      <c r="A36" s="180" t="s">
        <v>192</v>
      </c>
      <c r="B36" s="180"/>
      <c r="C36" s="153">
        <f>+C31</f>
        <v>7681</v>
      </c>
      <c r="D36" s="153">
        <f>+D31</f>
        <v>8015</v>
      </c>
      <c r="E36" s="153">
        <f>+E31</f>
        <v>0</v>
      </c>
      <c r="F36" s="153">
        <f>+F31</f>
        <v>8015</v>
      </c>
      <c r="G36" s="170">
        <f>+G31</f>
        <v>7497</v>
      </c>
      <c r="H36" s="217">
        <v>5090</v>
      </c>
      <c r="I36" s="170">
        <f>+I31</f>
        <v>5121</v>
      </c>
      <c r="K36" s="170">
        <f>+K31</f>
        <v>7721</v>
      </c>
      <c r="L36" s="586">
        <f t="shared" ref="L36:P36" si="37">+L31</f>
        <v>7721</v>
      </c>
      <c r="M36" s="609">
        <f t="shared" si="37"/>
        <v>5121</v>
      </c>
      <c r="N36" s="609">
        <f t="shared" si="37"/>
        <v>5121</v>
      </c>
      <c r="O36" s="609">
        <f>+O31</f>
        <v>5121</v>
      </c>
      <c r="P36" s="609">
        <f t="shared" si="37"/>
        <v>5121</v>
      </c>
      <c r="Q36" s="139">
        <f>+Q31</f>
        <v>9805</v>
      </c>
      <c r="R36" s="586">
        <f t="shared" ref="R36:T36" si="38">+R31</f>
        <v>9805</v>
      </c>
      <c r="S36" s="609">
        <f t="shared" si="38"/>
        <v>9805</v>
      </c>
      <c r="T36" s="609">
        <f t="shared" si="38"/>
        <v>9805</v>
      </c>
      <c r="U36" s="609">
        <f>+U31</f>
        <v>9805</v>
      </c>
      <c r="V36" s="609">
        <f t="shared" ref="V36" si="39">+V31</f>
        <v>9805</v>
      </c>
    </row>
    <row r="37" spans="1:22" x14ac:dyDescent="0.35">
      <c r="A37" s="458" t="s">
        <v>310</v>
      </c>
      <c r="B37" s="458"/>
      <c r="C37" s="459">
        <f t="shared" ref="C37:H37" si="40">+C35+C36</f>
        <v>15484.183387083334</v>
      </c>
      <c r="D37" s="459">
        <f t="shared" si="40"/>
        <v>16767.279612083337</v>
      </c>
      <c r="E37" s="459">
        <f t="shared" si="40"/>
        <v>9091.5484550000001</v>
      </c>
      <c r="F37" s="459">
        <f t="shared" si="40"/>
        <v>16157.452230000001</v>
      </c>
      <c r="G37" s="460">
        <f t="shared" si="40"/>
        <v>16110</v>
      </c>
      <c r="H37" s="647">
        <f t="shared" si="40"/>
        <v>13703</v>
      </c>
      <c r="I37" s="460">
        <f t="shared" ref="I37:Q37" si="41">+I35+I36</f>
        <v>14003</v>
      </c>
      <c r="K37" s="460">
        <f t="shared" ref="K37" si="42">+K35+K36</f>
        <v>16544</v>
      </c>
      <c r="L37" s="614">
        <f t="shared" si="41"/>
        <v>16675</v>
      </c>
      <c r="M37" s="610">
        <f t="shared" si="41"/>
        <v>14172</v>
      </c>
      <c r="N37" s="610">
        <f t="shared" si="41"/>
        <v>14088</v>
      </c>
      <c r="O37" s="610">
        <f t="shared" ref="O37" si="43">+O35+O36</f>
        <v>14003</v>
      </c>
      <c r="P37" s="610">
        <f t="shared" si="41"/>
        <v>14355</v>
      </c>
      <c r="Q37" s="631">
        <f t="shared" si="41"/>
        <v>19100</v>
      </c>
      <c r="R37" s="614">
        <f t="shared" ref="R37:V37" si="44">+R35+R36</f>
        <v>19343</v>
      </c>
      <c r="S37" s="610">
        <f t="shared" si="44"/>
        <v>18805</v>
      </c>
      <c r="T37" s="610">
        <f t="shared" si="44"/>
        <v>18716</v>
      </c>
      <c r="U37" s="610">
        <f t="shared" si="44"/>
        <v>18628</v>
      </c>
      <c r="V37" s="610">
        <f t="shared" si="44"/>
        <v>19100</v>
      </c>
    </row>
    <row r="38" spans="1:22" x14ac:dyDescent="0.35">
      <c r="A38" s="180" t="s">
        <v>197</v>
      </c>
      <c r="B38" s="180"/>
      <c r="C38" s="454">
        <f>+C37/C34</f>
        <v>0.21827760390696258</v>
      </c>
      <c r="D38" s="454">
        <f>+D37/D34</f>
        <v>0.23636516865440033</v>
      </c>
      <c r="E38" s="454">
        <f>+E37/E34</f>
        <v>0.11</v>
      </c>
      <c r="F38" s="454">
        <f>+F37/F34</f>
        <v>0.2182781912740801</v>
      </c>
      <c r="G38" s="455">
        <f>+G37/G34</f>
        <v>0.20574349899233257</v>
      </c>
      <c r="H38" s="454"/>
      <c r="I38" s="455">
        <f>+I37/I34</f>
        <v>0.17342250294135861</v>
      </c>
      <c r="K38" s="455">
        <f>+K37/K34</f>
        <v>0.20625857125046751</v>
      </c>
      <c r="L38" s="615">
        <f t="shared" ref="L38:P38" si="45">+L37/L34</f>
        <v>0.20484503028143927</v>
      </c>
      <c r="M38" s="611">
        <f t="shared" si="45"/>
        <v>0.1722285686508033</v>
      </c>
      <c r="N38" s="611">
        <f t="shared" si="45"/>
        <v>0.17282708703919525</v>
      </c>
      <c r="O38" s="611">
        <f>+O37/O34</f>
        <v>0.17342250294135861</v>
      </c>
      <c r="P38" s="611">
        <f t="shared" si="45"/>
        <v>0.17101093612256082</v>
      </c>
      <c r="Q38" s="632">
        <f>+Q37/Q34</f>
        <v>0.22602480355959481</v>
      </c>
      <c r="R38" s="615">
        <f t="shared" ref="R38:T38" si="46">+R37/R34</f>
        <v>0.22306920530946917</v>
      </c>
      <c r="S38" s="611">
        <f t="shared" si="46"/>
        <v>0.22985063681032586</v>
      </c>
      <c r="T38" s="611">
        <f t="shared" si="46"/>
        <v>0.23102750209845455</v>
      </c>
      <c r="U38" s="611">
        <f>+U37/U34</f>
        <v>0.23224036903129286</v>
      </c>
      <c r="V38" s="611">
        <f t="shared" ref="V38" si="47">+V37/V34</f>
        <v>0.22602480355959481</v>
      </c>
    </row>
    <row r="39" spans="1:22" x14ac:dyDescent="0.35">
      <c r="A39" s="180" t="s">
        <v>309</v>
      </c>
      <c r="B39" s="180"/>
      <c r="C39" s="454">
        <f>+C38/C35</f>
        <v>2.7972891713435705E-5</v>
      </c>
      <c r="D39" s="454">
        <f>+D38/D35</f>
        <v>2.7006126304291768E-5</v>
      </c>
      <c r="E39" s="454">
        <f>+E38/E35</f>
        <v>1.2099149066241214E-5</v>
      </c>
      <c r="F39" s="454">
        <f>+F38/F35</f>
        <v>2.6807426695100191E-5</v>
      </c>
      <c r="G39" s="455"/>
      <c r="H39" s="454"/>
      <c r="I39" s="628">
        <v>0.17499999999999999</v>
      </c>
      <c r="K39" s="628">
        <v>0.20499999999999999</v>
      </c>
      <c r="L39" s="593">
        <v>0.17499999999999999</v>
      </c>
      <c r="M39" s="612">
        <v>0.17499999999999999</v>
      </c>
      <c r="N39" s="612">
        <v>0.17499999999999999</v>
      </c>
      <c r="O39" s="612">
        <v>0.17499999999999999</v>
      </c>
      <c r="P39" s="612">
        <v>0.17499999999999999</v>
      </c>
      <c r="Q39" s="633">
        <v>0.22500000000000001</v>
      </c>
      <c r="R39" s="593">
        <v>0.22500000000000001</v>
      </c>
      <c r="S39" s="612">
        <v>0.23</v>
      </c>
      <c r="T39" s="612">
        <v>0.23</v>
      </c>
      <c r="U39" s="612">
        <v>0.20499999999999999</v>
      </c>
      <c r="V39" s="612">
        <v>0.22500000000000001</v>
      </c>
    </row>
    <row r="40" spans="1:22" x14ac:dyDescent="0.35">
      <c r="A40" s="195" t="s">
        <v>193</v>
      </c>
      <c r="B40" s="456"/>
      <c r="C40" s="457"/>
      <c r="D40" s="457"/>
      <c r="E40" s="457"/>
      <c r="F40" s="457"/>
      <c r="G40" s="199">
        <f>+G37</f>
        <v>16110</v>
      </c>
      <c r="H40" s="457"/>
      <c r="I40" s="199">
        <f>ROUND(+I19*I39,0)</f>
        <v>14130</v>
      </c>
      <c r="K40" s="199">
        <f>ROUND(+K19*K39,0)</f>
        <v>16443</v>
      </c>
      <c r="L40" s="597">
        <f t="shared" ref="L40:P40" si="48">ROUND(+L19*L39,0)</f>
        <v>14246</v>
      </c>
      <c r="M40" s="607">
        <f t="shared" si="48"/>
        <v>14400</v>
      </c>
      <c r="N40" s="607">
        <f t="shared" si="48"/>
        <v>14265</v>
      </c>
      <c r="O40" s="607">
        <f>ROUND(+O19*O39,0)</f>
        <v>14130</v>
      </c>
      <c r="P40" s="607">
        <f t="shared" si="48"/>
        <v>14690</v>
      </c>
      <c r="Q40" s="146">
        <f>ROUND(+Q19*Q39,0)</f>
        <v>19013</v>
      </c>
      <c r="R40" s="597">
        <f t="shared" ref="R40:T40" si="49">ROUND(+R19*R39,0)</f>
        <v>19510</v>
      </c>
      <c r="S40" s="607">
        <f t="shared" si="49"/>
        <v>18817</v>
      </c>
      <c r="T40" s="607">
        <f t="shared" si="49"/>
        <v>18633</v>
      </c>
      <c r="U40" s="607">
        <f>ROUND(+U19*U39,0)</f>
        <v>16443</v>
      </c>
      <c r="V40" s="607">
        <f t="shared" ref="V40" si="50">ROUND(+V19*V39,0)</f>
        <v>19013</v>
      </c>
    </row>
    <row r="41" spans="1:22" x14ac:dyDescent="0.35">
      <c r="A41" s="200"/>
      <c r="B41" s="200"/>
      <c r="C41" s="200"/>
      <c r="D41" s="200"/>
      <c r="E41" s="200"/>
      <c r="F41" s="200"/>
      <c r="G41" s="200"/>
      <c r="H41" s="200"/>
      <c r="I41" s="200"/>
      <c r="K41" s="200"/>
      <c r="L41" s="200"/>
      <c r="M41" s="200"/>
      <c r="N41" s="200"/>
      <c r="O41" s="200"/>
      <c r="P41" s="200"/>
      <c r="Q41" s="200"/>
      <c r="R41" s="200"/>
      <c r="S41" s="200"/>
      <c r="T41" s="200"/>
      <c r="U41" s="200"/>
      <c r="V41" s="200"/>
    </row>
    <row r="42" spans="1:22" x14ac:dyDescent="0.35">
      <c r="A42" s="201" t="s">
        <v>196</v>
      </c>
      <c r="B42" s="166"/>
      <c r="C42" s="202"/>
      <c r="D42" s="202"/>
      <c r="E42" s="202"/>
      <c r="F42" s="203"/>
      <c r="G42" s="167"/>
      <c r="H42" s="203"/>
      <c r="I42" s="167"/>
      <c r="K42" s="167"/>
      <c r="L42" s="585"/>
      <c r="M42" s="598"/>
      <c r="N42" s="598"/>
      <c r="O42" s="598"/>
      <c r="P42" s="598"/>
      <c r="Q42" s="138"/>
      <c r="R42" s="585"/>
      <c r="S42" s="598"/>
      <c r="T42" s="598"/>
      <c r="U42" s="598"/>
      <c r="V42" s="598"/>
    </row>
    <row r="43" spans="1:22" x14ac:dyDescent="0.35">
      <c r="A43" s="180" t="s">
        <v>531</v>
      </c>
      <c r="B43" s="180"/>
      <c r="C43" s="212">
        <v>0.03</v>
      </c>
      <c r="D43" s="212">
        <v>0.03</v>
      </c>
      <c r="E43" s="212">
        <v>0.03</v>
      </c>
      <c r="F43" s="213">
        <v>0.03</v>
      </c>
      <c r="G43" s="419">
        <v>2.5000000000000001E-2</v>
      </c>
      <c r="H43" s="213">
        <v>2.5000000000000001E-2</v>
      </c>
      <c r="I43" s="419">
        <v>1.4999999999999999E-2</v>
      </c>
      <c r="K43" s="419">
        <v>1.4999999999999999E-2</v>
      </c>
      <c r="L43" s="619">
        <v>1.4999999999999999E-2</v>
      </c>
      <c r="M43" s="616">
        <v>1.4999999999999999E-2</v>
      </c>
      <c r="N43" s="616">
        <v>1.4999999999999999E-2</v>
      </c>
      <c r="O43" s="616">
        <v>1.4999999999999999E-2</v>
      </c>
      <c r="P43" s="616">
        <v>1.4999999999999999E-2</v>
      </c>
      <c r="Q43" s="423">
        <v>1.4999999999999999E-2</v>
      </c>
      <c r="R43" s="620">
        <f>+$Q43</f>
        <v>1.4999999999999999E-2</v>
      </c>
      <c r="S43" s="620">
        <f t="shared" ref="S43:V44" si="51">+$Q43</f>
        <v>1.4999999999999999E-2</v>
      </c>
      <c r="T43" s="620">
        <f t="shared" si="51"/>
        <v>1.4999999999999999E-2</v>
      </c>
      <c r="U43" s="620">
        <f t="shared" si="51"/>
        <v>1.4999999999999999E-2</v>
      </c>
      <c r="V43" s="620">
        <f t="shared" si="51"/>
        <v>1.4999999999999999E-2</v>
      </c>
    </row>
    <row r="44" spans="1:22" x14ac:dyDescent="0.35">
      <c r="A44" s="180" t="s">
        <v>532</v>
      </c>
      <c r="B44" s="180"/>
      <c r="C44" s="212">
        <v>3.0000000000000001E-3</v>
      </c>
      <c r="D44" s="212">
        <v>3.0000000000000001E-3</v>
      </c>
      <c r="E44" s="212">
        <v>3.0000000000000001E-3</v>
      </c>
      <c r="F44" s="213">
        <v>3.0000000000000001E-3</v>
      </c>
      <c r="G44" s="419">
        <v>2E-3</v>
      </c>
      <c r="H44" s="213">
        <v>2E-3</v>
      </c>
      <c r="I44" s="419">
        <v>7.0000000000000001E-3</v>
      </c>
      <c r="K44" s="419">
        <v>7.0000000000000001E-3</v>
      </c>
      <c r="L44" s="619">
        <v>7.0000000000000001E-3</v>
      </c>
      <c r="M44" s="616">
        <v>7.0000000000000001E-3</v>
      </c>
      <c r="N44" s="616">
        <v>7.0000000000000001E-3</v>
      </c>
      <c r="O44" s="616">
        <v>7.0000000000000001E-3</v>
      </c>
      <c r="P44" s="616">
        <v>7.0000000000000001E-3</v>
      </c>
      <c r="Q44" s="423">
        <v>7.0000000000000001E-3</v>
      </c>
      <c r="R44" s="620">
        <f>+$Q44</f>
        <v>7.0000000000000001E-3</v>
      </c>
      <c r="S44" s="620">
        <f t="shared" si="51"/>
        <v>7.0000000000000001E-3</v>
      </c>
      <c r="T44" s="620">
        <f t="shared" si="51"/>
        <v>7.0000000000000001E-3</v>
      </c>
      <c r="U44" s="620">
        <f t="shared" si="51"/>
        <v>7.0000000000000001E-3</v>
      </c>
      <c r="V44" s="620">
        <f t="shared" si="51"/>
        <v>7.0000000000000001E-3</v>
      </c>
    </row>
    <row r="45" spans="1:22" hidden="1" x14ac:dyDescent="0.35">
      <c r="A45" s="180" t="s">
        <v>168</v>
      </c>
      <c r="B45" s="180"/>
      <c r="C45" s="212">
        <v>7.0000000000000001E-3</v>
      </c>
      <c r="D45" s="212">
        <v>7.0000000000000001E-3</v>
      </c>
      <c r="E45" s="212">
        <v>7.0000000000000001E-3</v>
      </c>
      <c r="F45" s="213">
        <v>7.0000000000000001E-3</v>
      </c>
      <c r="G45" s="419">
        <v>7.0000000000000001E-3</v>
      </c>
      <c r="H45" s="213">
        <v>7.0000000000000001E-3</v>
      </c>
      <c r="I45" s="419">
        <v>7.0000000000000001E-3</v>
      </c>
      <c r="J45" s="136" t="s">
        <v>364</v>
      </c>
      <c r="K45" s="419">
        <v>0</v>
      </c>
      <c r="L45" s="619">
        <v>0</v>
      </c>
      <c r="M45" s="616">
        <v>0</v>
      </c>
      <c r="N45" s="616">
        <v>0</v>
      </c>
      <c r="O45" s="616">
        <v>0</v>
      </c>
      <c r="P45" s="616">
        <v>0</v>
      </c>
      <c r="Q45" s="423">
        <v>0</v>
      </c>
      <c r="R45" s="619">
        <v>0</v>
      </c>
      <c r="S45" s="616">
        <v>0</v>
      </c>
      <c r="T45" s="616">
        <v>0</v>
      </c>
      <c r="U45" s="616">
        <v>0</v>
      </c>
      <c r="V45" s="616">
        <v>0</v>
      </c>
    </row>
    <row r="46" spans="1:22" x14ac:dyDescent="0.35">
      <c r="A46" s="180" t="s">
        <v>533</v>
      </c>
      <c r="B46" s="180"/>
      <c r="C46" s="214">
        <f t="shared" ref="C46:H46" si="52">+C43+C44+C45</f>
        <v>0.04</v>
      </c>
      <c r="D46" s="214">
        <f t="shared" si="52"/>
        <v>0.04</v>
      </c>
      <c r="E46" s="214">
        <f t="shared" si="52"/>
        <v>0.04</v>
      </c>
      <c r="F46" s="215">
        <f t="shared" si="52"/>
        <v>0.04</v>
      </c>
      <c r="G46" s="420">
        <f t="shared" si="52"/>
        <v>3.4000000000000002E-2</v>
      </c>
      <c r="H46" s="215">
        <f t="shared" si="52"/>
        <v>3.4000000000000002E-2</v>
      </c>
      <c r="I46" s="420">
        <f t="shared" ref="I46:Q46" si="53">+I43+I44+I45</f>
        <v>2.8999999999999998E-2</v>
      </c>
      <c r="K46" s="420">
        <f t="shared" ref="K46" si="54">+K43+K44+K45</f>
        <v>2.1999999999999999E-2</v>
      </c>
      <c r="L46" s="620">
        <f t="shared" si="53"/>
        <v>2.1999999999999999E-2</v>
      </c>
      <c r="M46" s="617">
        <f t="shared" si="53"/>
        <v>2.1999999999999999E-2</v>
      </c>
      <c r="N46" s="617">
        <f t="shared" si="53"/>
        <v>2.1999999999999999E-2</v>
      </c>
      <c r="O46" s="617">
        <f t="shared" ref="O46" si="55">+O43+O44+O45</f>
        <v>2.1999999999999999E-2</v>
      </c>
      <c r="P46" s="617">
        <f t="shared" si="53"/>
        <v>2.1999999999999999E-2</v>
      </c>
      <c r="Q46" s="424">
        <f t="shared" si="53"/>
        <v>2.1999999999999999E-2</v>
      </c>
      <c r="R46" s="620">
        <f t="shared" ref="R46:V46" si="56">+R43+R44+R45</f>
        <v>2.1999999999999999E-2</v>
      </c>
      <c r="S46" s="617">
        <f t="shared" si="56"/>
        <v>2.1999999999999999E-2</v>
      </c>
      <c r="T46" s="617">
        <f t="shared" si="56"/>
        <v>2.1999999999999999E-2</v>
      </c>
      <c r="U46" s="617">
        <f t="shared" si="56"/>
        <v>2.1999999999999999E-2</v>
      </c>
      <c r="V46" s="617">
        <f t="shared" si="56"/>
        <v>2.1999999999999999E-2</v>
      </c>
    </row>
    <row r="47" spans="1:22" x14ac:dyDescent="0.35">
      <c r="A47" s="180" t="s">
        <v>194</v>
      </c>
      <c r="B47" s="180"/>
      <c r="C47" s="153">
        <f t="shared" ref="C47:H47" si="57">+C19</f>
        <v>70938.030791666679</v>
      </c>
      <c r="D47" s="153">
        <f t="shared" si="57"/>
        <v>70938.030791666679</v>
      </c>
      <c r="E47" s="153">
        <f t="shared" si="57"/>
        <v>82650.440499999997</v>
      </c>
      <c r="F47" s="208">
        <f t="shared" si="57"/>
        <v>74022.293000000005</v>
      </c>
      <c r="G47" s="170">
        <f t="shared" si="57"/>
        <v>78301.380499999999</v>
      </c>
      <c r="H47" s="208">
        <f t="shared" si="57"/>
        <v>78301.380499999999</v>
      </c>
      <c r="I47" s="170">
        <f t="shared" ref="I47:Q47" si="58">+I19</f>
        <v>80745</v>
      </c>
      <c r="K47" s="170">
        <f t="shared" ref="K47" si="59">+K19</f>
        <v>80210</v>
      </c>
      <c r="L47" s="586">
        <f t="shared" si="58"/>
        <v>81403</v>
      </c>
      <c r="M47" s="609">
        <f t="shared" si="58"/>
        <v>82286</v>
      </c>
      <c r="N47" s="609">
        <f t="shared" si="58"/>
        <v>81515</v>
      </c>
      <c r="O47" s="609">
        <f t="shared" ref="O47" si="60">+O19</f>
        <v>80745</v>
      </c>
      <c r="P47" s="609">
        <f t="shared" si="58"/>
        <v>83942</v>
      </c>
      <c r="Q47" s="139">
        <f t="shared" si="58"/>
        <v>84504</v>
      </c>
      <c r="R47" s="586">
        <f t="shared" ref="R47:V47" si="61">+R19</f>
        <v>86713</v>
      </c>
      <c r="S47" s="609">
        <f t="shared" si="61"/>
        <v>81814</v>
      </c>
      <c r="T47" s="609">
        <f t="shared" si="61"/>
        <v>81012</v>
      </c>
      <c r="U47" s="609">
        <f t="shared" si="61"/>
        <v>80210</v>
      </c>
      <c r="V47" s="609">
        <f t="shared" si="61"/>
        <v>84504</v>
      </c>
    </row>
    <row r="48" spans="1:22" ht="29" hidden="1" x14ac:dyDescent="0.35">
      <c r="A48" s="216" t="s">
        <v>201</v>
      </c>
      <c r="B48" s="180"/>
      <c r="C48" s="153">
        <f>+C26</f>
        <v>7681</v>
      </c>
      <c r="D48" s="153">
        <f>+D26</f>
        <v>8015</v>
      </c>
      <c r="E48" s="217">
        <v>0</v>
      </c>
      <c r="F48" s="208">
        <f>+F26</f>
        <v>8015</v>
      </c>
      <c r="G48" s="413">
        <v>0</v>
      </c>
      <c r="H48" s="210">
        <v>0</v>
      </c>
      <c r="I48" s="413">
        <v>0</v>
      </c>
      <c r="K48" s="413">
        <v>0</v>
      </c>
      <c r="L48" s="621">
        <v>0</v>
      </c>
      <c r="M48" s="618">
        <v>0</v>
      </c>
      <c r="N48" s="618">
        <v>0</v>
      </c>
      <c r="O48" s="618">
        <v>0</v>
      </c>
      <c r="P48" s="618">
        <v>0</v>
      </c>
      <c r="Q48" s="220">
        <v>0</v>
      </c>
      <c r="R48" s="621">
        <v>0</v>
      </c>
      <c r="S48" s="618">
        <v>0</v>
      </c>
      <c r="T48" s="618">
        <v>0</v>
      </c>
      <c r="U48" s="618">
        <v>0</v>
      </c>
      <c r="V48" s="618">
        <v>0</v>
      </c>
    </row>
    <row r="49" spans="1:25" hidden="1" x14ac:dyDescent="0.35">
      <c r="A49" s="216" t="s">
        <v>200</v>
      </c>
      <c r="B49" s="180"/>
      <c r="C49" s="153">
        <f>+C31*C17</f>
        <v>587.59649999999999</v>
      </c>
      <c r="D49" s="153">
        <f>+D31*D17</f>
        <v>613.14750000000004</v>
      </c>
      <c r="E49" s="153">
        <f>+E31*E17</f>
        <v>0</v>
      </c>
      <c r="F49" s="208">
        <f>+F31*F17</f>
        <v>613.14750000000004</v>
      </c>
      <c r="G49" s="170"/>
      <c r="H49" s="208"/>
      <c r="I49" s="170"/>
      <c r="K49" s="170"/>
      <c r="L49" s="586"/>
      <c r="M49" s="609"/>
      <c r="N49" s="609"/>
      <c r="O49" s="609"/>
      <c r="P49" s="609"/>
      <c r="Q49" s="139"/>
      <c r="R49" s="586"/>
      <c r="S49" s="609"/>
      <c r="T49" s="609"/>
      <c r="U49" s="609"/>
      <c r="V49" s="609"/>
    </row>
    <row r="50" spans="1:25" hidden="1" x14ac:dyDescent="0.35">
      <c r="A50" s="150" t="s">
        <v>199</v>
      </c>
      <c r="B50" s="150"/>
      <c r="C50" s="151">
        <f t="shared" ref="C50:H50" si="62">SUM(C47:C49)</f>
        <v>79206.627291666679</v>
      </c>
      <c r="D50" s="151">
        <f t="shared" si="62"/>
        <v>79566.178291666685</v>
      </c>
      <c r="E50" s="151">
        <f t="shared" si="62"/>
        <v>82650.440499999997</v>
      </c>
      <c r="F50" s="152">
        <f t="shared" si="62"/>
        <v>82650.440500000012</v>
      </c>
      <c r="G50" s="170">
        <f t="shared" si="62"/>
        <v>78301.380499999999</v>
      </c>
      <c r="H50" s="152">
        <f t="shared" si="62"/>
        <v>78301.380499999999</v>
      </c>
      <c r="I50" s="170">
        <f t="shared" ref="I50:Q50" si="63">SUM(I47:I49)</f>
        <v>80745</v>
      </c>
      <c r="K50" s="170">
        <f t="shared" ref="K50" si="64">SUM(K47:K49)</f>
        <v>80210</v>
      </c>
      <c r="L50" s="586">
        <f t="shared" si="63"/>
        <v>81403</v>
      </c>
      <c r="M50" s="609">
        <f t="shared" si="63"/>
        <v>82286</v>
      </c>
      <c r="N50" s="609">
        <f t="shared" si="63"/>
        <v>81515</v>
      </c>
      <c r="O50" s="609">
        <f t="shared" ref="O50" si="65">SUM(O47:O49)</f>
        <v>80745</v>
      </c>
      <c r="P50" s="609">
        <f t="shared" si="63"/>
        <v>83942</v>
      </c>
      <c r="Q50" s="139">
        <f t="shared" si="63"/>
        <v>84504</v>
      </c>
      <c r="R50" s="586">
        <f t="shared" ref="R50:V50" si="66">SUM(R47:R49)</f>
        <v>86713</v>
      </c>
      <c r="S50" s="609">
        <f t="shared" si="66"/>
        <v>81814</v>
      </c>
      <c r="T50" s="609">
        <f t="shared" si="66"/>
        <v>81012</v>
      </c>
      <c r="U50" s="609">
        <f t="shared" si="66"/>
        <v>80210</v>
      </c>
      <c r="V50" s="609">
        <f t="shared" si="66"/>
        <v>84504</v>
      </c>
    </row>
    <row r="51" spans="1:25" x14ac:dyDescent="0.35">
      <c r="A51" s="156" t="s">
        <v>198</v>
      </c>
      <c r="B51" s="156"/>
      <c r="C51" s="157">
        <f>+C50*C46</f>
        <v>3168.2650916666671</v>
      </c>
      <c r="D51" s="157">
        <f>+D50*D46+1</f>
        <v>3183.6471316666675</v>
      </c>
      <c r="E51" s="157">
        <f>+E50*E46+1</f>
        <v>3307.0176200000001</v>
      </c>
      <c r="F51" s="158">
        <f>+F50*F46+1</f>
        <v>3307.0176200000005</v>
      </c>
      <c r="G51" s="199">
        <f>ROUND(+G50*G46,0)</f>
        <v>2662</v>
      </c>
      <c r="H51" s="199">
        <f>ROUND(+H50*H46,0)</f>
        <v>2662</v>
      </c>
      <c r="I51" s="199">
        <f>ROUND(+I50*I46,0)</f>
        <v>2342</v>
      </c>
      <c r="K51" s="199">
        <f>ROUND(+K50*K46,0)</f>
        <v>1765</v>
      </c>
      <c r="L51" s="597">
        <f t="shared" ref="L51:P51" si="67">ROUND(+L50*L46,0)</f>
        <v>1791</v>
      </c>
      <c r="M51" s="607">
        <f t="shared" si="67"/>
        <v>1810</v>
      </c>
      <c r="N51" s="607">
        <f t="shared" si="67"/>
        <v>1793</v>
      </c>
      <c r="O51" s="607">
        <f>ROUND(+O50*O46,0)</f>
        <v>1776</v>
      </c>
      <c r="P51" s="607">
        <f t="shared" si="67"/>
        <v>1847</v>
      </c>
      <c r="Q51" s="146">
        <f>ROUND(+Q50*Q46,0)</f>
        <v>1859</v>
      </c>
      <c r="R51" s="597">
        <f t="shared" ref="R51:T51" si="68">ROUND(+R50*R46,0)</f>
        <v>1908</v>
      </c>
      <c r="S51" s="607">
        <f t="shared" si="68"/>
        <v>1800</v>
      </c>
      <c r="T51" s="607">
        <f t="shared" si="68"/>
        <v>1782</v>
      </c>
      <c r="U51" s="607">
        <f>ROUND(+U50*U46,0)</f>
        <v>1765</v>
      </c>
      <c r="V51" s="607">
        <f t="shared" ref="V51" si="69">ROUND(+V50*V46,0)</f>
        <v>1859</v>
      </c>
    </row>
    <row r="52" spans="1:25" x14ac:dyDescent="0.35">
      <c r="D52" s="143"/>
      <c r="E52" s="143"/>
      <c r="G52" s="200"/>
      <c r="I52" s="200"/>
      <c r="K52" s="200"/>
    </row>
    <row r="53" spans="1:25" x14ac:dyDescent="0.35">
      <c r="A53" s="147" t="s">
        <v>103</v>
      </c>
      <c r="B53" s="148"/>
      <c r="C53" s="159"/>
      <c r="D53" s="159"/>
      <c r="E53" s="159"/>
      <c r="F53" s="160"/>
      <c r="G53" s="412"/>
      <c r="H53" s="159"/>
      <c r="I53" s="412"/>
      <c r="K53" s="412"/>
      <c r="L53" s="622"/>
      <c r="M53" s="622"/>
      <c r="N53" s="622"/>
      <c r="O53" s="622"/>
      <c r="P53" s="622"/>
      <c r="Q53" s="219"/>
      <c r="R53" s="622"/>
      <c r="S53" s="622"/>
      <c r="T53" s="622"/>
      <c r="U53" s="622"/>
      <c r="V53" s="622"/>
    </row>
    <row r="54" spans="1:25" x14ac:dyDescent="0.35">
      <c r="A54" s="150" t="s">
        <v>203</v>
      </c>
      <c r="B54" s="150"/>
      <c r="C54" s="154">
        <v>1500</v>
      </c>
      <c r="D54" s="154">
        <v>1500</v>
      </c>
      <c r="E54" s="154">
        <v>1500</v>
      </c>
      <c r="F54" s="155">
        <v>1500</v>
      </c>
      <c r="G54" s="413">
        <v>1500</v>
      </c>
      <c r="H54" s="154">
        <v>1500</v>
      </c>
      <c r="I54" s="413">
        <v>1500</v>
      </c>
      <c r="K54" s="413">
        <v>1500</v>
      </c>
      <c r="L54" s="621">
        <v>1500</v>
      </c>
      <c r="M54" s="621">
        <v>1500</v>
      </c>
      <c r="N54" s="621">
        <v>1500</v>
      </c>
      <c r="O54" s="621">
        <v>1500</v>
      </c>
      <c r="P54" s="621">
        <v>1500</v>
      </c>
      <c r="Q54" s="220">
        <v>1500</v>
      </c>
      <c r="R54" s="793">
        <f>+$Q54</f>
        <v>1500</v>
      </c>
      <c r="S54" s="793">
        <f t="shared" ref="S54:V55" si="70">+$Q54</f>
        <v>1500</v>
      </c>
      <c r="T54" s="793">
        <f t="shared" si="70"/>
        <v>1500</v>
      </c>
      <c r="U54" s="793">
        <f t="shared" si="70"/>
        <v>1500</v>
      </c>
      <c r="V54" s="793">
        <f t="shared" si="70"/>
        <v>1500</v>
      </c>
    </row>
    <row r="55" spans="1:25" x14ac:dyDescent="0.35">
      <c r="A55" s="150" t="s">
        <v>534</v>
      </c>
      <c r="B55" s="150"/>
      <c r="C55" s="154">
        <v>1000</v>
      </c>
      <c r="D55" s="154">
        <v>1000</v>
      </c>
      <c r="E55" s="154">
        <v>1000</v>
      </c>
      <c r="F55" s="155">
        <v>1000</v>
      </c>
      <c r="G55" s="413">
        <v>1000</v>
      </c>
      <c r="H55" s="154">
        <v>700</v>
      </c>
      <c r="I55" s="413">
        <v>1000</v>
      </c>
      <c r="K55" s="413">
        <v>1000</v>
      </c>
      <c r="L55" s="621">
        <v>1000</v>
      </c>
      <c r="M55" s="621">
        <v>1000</v>
      </c>
      <c r="N55" s="621">
        <v>1000</v>
      </c>
      <c r="O55" s="621">
        <v>1000</v>
      </c>
      <c r="P55" s="621">
        <v>1000</v>
      </c>
      <c r="Q55" s="220">
        <v>1300</v>
      </c>
      <c r="R55" s="793">
        <f>+$Q55</f>
        <v>1300</v>
      </c>
      <c r="S55" s="793">
        <f t="shared" si="70"/>
        <v>1300</v>
      </c>
      <c r="T55" s="793">
        <f t="shared" si="70"/>
        <v>1300</v>
      </c>
      <c r="U55" s="793">
        <f t="shared" si="70"/>
        <v>1300</v>
      </c>
      <c r="V55" s="793">
        <f t="shared" si="70"/>
        <v>1300</v>
      </c>
    </row>
    <row r="56" spans="1:25" x14ac:dyDescent="0.35">
      <c r="A56" s="150" t="s">
        <v>552</v>
      </c>
      <c r="B56" s="150"/>
      <c r="C56" s="154"/>
      <c r="D56" s="154"/>
      <c r="E56" s="154"/>
      <c r="F56" s="155"/>
      <c r="G56" s="413"/>
      <c r="H56" s="154"/>
      <c r="I56" s="413"/>
      <c r="K56" s="413"/>
      <c r="L56" s="621"/>
      <c r="M56" s="621"/>
      <c r="N56" s="621"/>
      <c r="O56" s="621"/>
      <c r="P56" s="621"/>
      <c r="Q56" s="220"/>
      <c r="R56" s="793"/>
      <c r="S56" s="793"/>
      <c r="T56" s="793"/>
      <c r="U56" s="793"/>
      <c r="V56" s="793"/>
    </row>
    <row r="57" spans="1:25" x14ac:dyDescent="0.35">
      <c r="A57" s="150" t="s">
        <v>103</v>
      </c>
      <c r="B57" s="150"/>
      <c r="C57" s="154">
        <v>600</v>
      </c>
      <c r="D57" s="154">
        <v>600</v>
      </c>
      <c r="E57" s="154">
        <v>600</v>
      </c>
      <c r="F57" s="155">
        <v>600</v>
      </c>
      <c r="G57" s="413">
        <v>600</v>
      </c>
      <c r="H57" s="154">
        <v>600</v>
      </c>
      <c r="I57" s="413">
        <v>600</v>
      </c>
      <c r="K57" s="413">
        <v>600</v>
      </c>
      <c r="L57" s="621">
        <v>600</v>
      </c>
      <c r="M57" s="621">
        <v>600</v>
      </c>
      <c r="N57" s="621">
        <v>600</v>
      </c>
      <c r="O57" s="621">
        <v>600</v>
      </c>
      <c r="P57" s="621">
        <v>600</v>
      </c>
      <c r="Q57" s="220">
        <v>600</v>
      </c>
      <c r="R57" s="793">
        <f>+$Q57</f>
        <v>600</v>
      </c>
      <c r="S57" s="793">
        <f t="shared" ref="S57:V58" si="71">+$Q57</f>
        <v>600</v>
      </c>
      <c r="T57" s="793">
        <f t="shared" si="71"/>
        <v>600</v>
      </c>
      <c r="U57" s="793">
        <f t="shared" si="71"/>
        <v>600</v>
      </c>
      <c r="V57" s="793">
        <f t="shared" si="71"/>
        <v>600</v>
      </c>
    </row>
    <row r="58" spans="1:25" x14ac:dyDescent="0.35">
      <c r="A58" s="180" t="s">
        <v>216</v>
      </c>
      <c r="B58" s="180"/>
      <c r="C58" s="181"/>
      <c r="D58" s="181"/>
      <c r="E58" s="181"/>
      <c r="F58" s="182"/>
      <c r="G58" s="413">
        <f>40*12</f>
        <v>480</v>
      </c>
      <c r="H58" s="646">
        <f>25*12</f>
        <v>300</v>
      </c>
      <c r="I58" s="413">
        <f>ROUND(40*12,0)</f>
        <v>480</v>
      </c>
      <c r="K58" s="413">
        <f>ROUND(40*12,0)</f>
        <v>480</v>
      </c>
      <c r="L58" s="621">
        <f t="shared" ref="L58:P58" si="72">ROUND(40*12,0)</f>
        <v>480</v>
      </c>
      <c r="M58" s="621">
        <f t="shared" si="72"/>
        <v>480</v>
      </c>
      <c r="N58" s="621">
        <f t="shared" si="72"/>
        <v>480</v>
      </c>
      <c r="O58" s="621">
        <f>ROUND(40*12,0)</f>
        <v>480</v>
      </c>
      <c r="P58" s="621">
        <f t="shared" si="72"/>
        <v>480</v>
      </c>
      <c r="Q58" s="220">
        <f>ROUND(40*12,0)</f>
        <v>480</v>
      </c>
      <c r="R58" s="793">
        <f>+$Q58</f>
        <v>480</v>
      </c>
      <c r="S58" s="793">
        <f t="shared" si="71"/>
        <v>480</v>
      </c>
      <c r="T58" s="793">
        <f t="shared" si="71"/>
        <v>480</v>
      </c>
      <c r="U58" s="793">
        <f t="shared" si="71"/>
        <v>480</v>
      </c>
      <c r="V58" s="793">
        <f t="shared" si="71"/>
        <v>480</v>
      </c>
    </row>
    <row r="59" spans="1:25" x14ac:dyDescent="0.35">
      <c r="A59" s="161" t="s">
        <v>205</v>
      </c>
      <c r="B59" s="161"/>
      <c r="C59" s="162">
        <f t="shared" ref="C59:H59" si="73">+SUM(C54:C58)</f>
        <v>3100</v>
      </c>
      <c r="D59" s="162">
        <f t="shared" si="73"/>
        <v>3100</v>
      </c>
      <c r="E59" s="162">
        <f t="shared" si="73"/>
        <v>3100</v>
      </c>
      <c r="F59" s="163">
        <f t="shared" si="73"/>
        <v>3100</v>
      </c>
      <c r="G59" s="414">
        <f t="shared" si="73"/>
        <v>3580</v>
      </c>
      <c r="H59" s="162">
        <f t="shared" si="73"/>
        <v>3100</v>
      </c>
      <c r="I59" s="414">
        <f t="shared" ref="I59:P59" si="74">+SUM(I54:I58)</f>
        <v>3580</v>
      </c>
      <c r="K59" s="414">
        <f t="shared" ref="K59" si="75">+SUM(K54:K58)</f>
        <v>3580</v>
      </c>
      <c r="L59" s="623">
        <f t="shared" si="74"/>
        <v>3580</v>
      </c>
      <c r="M59" s="623">
        <f t="shared" si="74"/>
        <v>3580</v>
      </c>
      <c r="N59" s="623">
        <f t="shared" si="74"/>
        <v>3580</v>
      </c>
      <c r="O59" s="623">
        <f t="shared" ref="O59" si="76">+SUM(O54:O58)</f>
        <v>3580</v>
      </c>
      <c r="P59" s="623">
        <f t="shared" si="74"/>
        <v>3580</v>
      </c>
      <c r="Q59" s="221">
        <f t="shared" ref="Q59" si="77">+SUM(Q54:Q58)</f>
        <v>3880</v>
      </c>
      <c r="R59" s="623">
        <f t="shared" ref="R59:T59" si="78">+SUM(R54:R58)</f>
        <v>3880</v>
      </c>
      <c r="S59" s="623">
        <f t="shared" si="78"/>
        <v>3880</v>
      </c>
      <c r="T59" s="623">
        <f t="shared" si="78"/>
        <v>3880</v>
      </c>
      <c r="U59" s="623">
        <f t="shared" ref="U59" si="79">+SUM(U54:U58)</f>
        <v>3880</v>
      </c>
      <c r="V59" s="623">
        <f t="shared" ref="V59" si="80">+SUM(V54:V58)</f>
        <v>3880</v>
      </c>
    </row>
    <row r="60" spans="1:25" ht="7.5" customHeight="1" thickBot="1" x14ac:dyDescent="0.4">
      <c r="G60" s="200"/>
      <c r="I60" s="181"/>
      <c r="K60" s="200"/>
    </row>
    <row r="61" spans="1:25" ht="15.5" thickTop="1" thickBot="1" x14ac:dyDescent="0.4">
      <c r="A61" s="496" t="s">
        <v>204</v>
      </c>
      <c r="B61" s="819"/>
      <c r="C61" s="820">
        <f t="shared" ref="C61:I61" si="81">+C19+C37+C51+C59</f>
        <v>92690.479270416676</v>
      </c>
      <c r="D61" s="820">
        <f t="shared" si="81"/>
        <v>93988.957535416688</v>
      </c>
      <c r="E61" s="820">
        <f t="shared" si="81"/>
        <v>98149.006574999992</v>
      </c>
      <c r="F61" s="821">
        <f t="shared" si="81"/>
        <v>96586.762849999999</v>
      </c>
      <c r="G61" s="822">
        <f t="shared" si="81"/>
        <v>100653.3805</v>
      </c>
      <c r="H61" s="820">
        <f t="shared" si="81"/>
        <v>97766.380499999999</v>
      </c>
      <c r="I61" s="822">
        <f t="shared" si="81"/>
        <v>100670</v>
      </c>
      <c r="J61" s="823"/>
      <c r="K61" s="822">
        <f t="shared" ref="K61:P61" si="82">+K19+K37+K51+K59</f>
        <v>102099</v>
      </c>
      <c r="L61" s="824">
        <f>+L19+L37+L51+L59</f>
        <v>103449</v>
      </c>
      <c r="M61" s="824">
        <f t="shared" si="82"/>
        <v>101848</v>
      </c>
      <c r="N61" s="824">
        <f t="shared" si="82"/>
        <v>100976</v>
      </c>
      <c r="O61" s="824">
        <f t="shared" si="82"/>
        <v>100104</v>
      </c>
      <c r="P61" s="824">
        <f t="shared" si="82"/>
        <v>103724</v>
      </c>
      <c r="Q61" s="825">
        <f>+Q19+Q40+Q51+Q59</f>
        <v>109256</v>
      </c>
      <c r="R61" s="818">
        <f>+R19+R40+R51+R59</f>
        <v>112011</v>
      </c>
      <c r="S61" s="624">
        <f>+S19+S40+S51+S59</f>
        <v>106311</v>
      </c>
      <c r="T61" s="624">
        <f t="shared" ref="T61:V61" si="83">+T19+T40+T51+T59</f>
        <v>105307</v>
      </c>
      <c r="U61" s="624">
        <f t="shared" si="83"/>
        <v>102298</v>
      </c>
      <c r="V61" s="624">
        <f t="shared" si="83"/>
        <v>109256</v>
      </c>
      <c r="Y61" s="817"/>
    </row>
    <row r="62" spans="1:25" ht="15" thickTop="1" x14ac:dyDescent="0.35">
      <c r="A62" s="224" t="s">
        <v>282</v>
      </c>
      <c r="B62" s="224"/>
      <c r="C62" s="211"/>
      <c r="D62" s="211"/>
      <c r="E62" s="211"/>
      <c r="F62" s="211"/>
      <c r="G62" s="211"/>
      <c r="H62" s="211"/>
      <c r="I62" s="211">
        <f>+I61-G61</f>
        <v>16.619500000000698</v>
      </c>
      <c r="K62" s="211">
        <f>+K61-I61</f>
        <v>1429</v>
      </c>
      <c r="L62" s="211">
        <f>+L61-K61</f>
        <v>1350</v>
      </c>
      <c r="M62" s="211">
        <f>+M61-O61</f>
        <v>1744</v>
      </c>
      <c r="N62" s="211">
        <f>+N61-O61</f>
        <v>872</v>
      </c>
      <c r="O62" s="211"/>
      <c r="P62" s="211">
        <f>+P61-O61</f>
        <v>3620</v>
      </c>
      <c r="Q62" s="211">
        <f>+Q61-$K61</f>
        <v>7157</v>
      </c>
      <c r="R62" s="211">
        <f t="shared" ref="R62:V62" si="84">+R61-$K61</f>
        <v>9912</v>
      </c>
      <c r="S62" s="211">
        <f t="shared" si="84"/>
        <v>4212</v>
      </c>
      <c r="T62" s="211">
        <f t="shared" si="84"/>
        <v>3208</v>
      </c>
      <c r="U62" s="211">
        <f t="shared" si="84"/>
        <v>199</v>
      </c>
      <c r="V62" s="211">
        <f t="shared" si="84"/>
        <v>7157</v>
      </c>
    </row>
    <row r="63" spans="1:25" x14ac:dyDescent="0.35">
      <c r="A63" s="224"/>
      <c r="B63" s="224"/>
      <c r="C63" s="211"/>
      <c r="D63" s="211"/>
      <c r="E63" s="211"/>
      <c r="F63" s="211"/>
      <c r="G63" s="211"/>
      <c r="H63" s="211"/>
      <c r="I63" s="405">
        <f>+I62/G61</f>
        <v>1.6511616318739237E-4</v>
      </c>
      <c r="J63" s="45"/>
      <c r="K63" s="626">
        <f>+K62/I61</f>
        <v>1.4194894208801033E-2</v>
      </c>
      <c r="L63" s="626">
        <f>+L62/O61</f>
        <v>1.3485974586430112E-2</v>
      </c>
      <c r="M63" s="626">
        <f>+M62/O61</f>
        <v>1.7421881243506753E-2</v>
      </c>
      <c r="N63" s="626">
        <f>+N62/O61</f>
        <v>8.7109406217533766E-3</v>
      </c>
      <c r="O63" s="405"/>
      <c r="P63" s="626">
        <f>+P62/O61</f>
        <v>3.616239111324223E-2</v>
      </c>
      <c r="Q63" s="626">
        <f>+Q62/$K61</f>
        <v>7.0098629761310108E-2</v>
      </c>
      <c r="R63" s="626">
        <f t="shared" ref="R63:V63" si="85">+R62/$K61</f>
        <v>9.7082243704639609E-2</v>
      </c>
      <c r="S63" s="626">
        <f t="shared" si="85"/>
        <v>4.1254076925337176E-2</v>
      </c>
      <c r="T63" s="626">
        <f t="shared" si="85"/>
        <v>3.142048404000039E-2</v>
      </c>
      <c r="U63" s="626">
        <f t="shared" si="85"/>
        <v>1.949088629663366E-3</v>
      </c>
      <c r="V63" s="626">
        <f t="shared" si="85"/>
        <v>7.0098629761310108E-2</v>
      </c>
    </row>
    <row r="64" spans="1:25" hidden="1" x14ac:dyDescent="0.35">
      <c r="A64" s="303"/>
      <c r="B64" s="303"/>
      <c r="C64" s="303" t="s">
        <v>207</v>
      </c>
      <c r="D64" s="303"/>
      <c r="E64" s="303"/>
      <c r="F64" s="303"/>
      <c r="G64" s="303"/>
      <c r="H64" s="404"/>
    </row>
    <row r="65" spans="1:22" hidden="1" x14ac:dyDescent="0.35">
      <c r="A65" s="862" t="s">
        <v>208</v>
      </c>
      <c r="B65" s="223"/>
      <c r="C65" s="145">
        <f>+C61-C18</f>
        <v>87649.365145416668</v>
      </c>
      <c r="D65" s="145">
        <f>+D61-D18</f>
        <v>88947.843410416681</v>
      </c>
      <c r="E65" s="145">
        <f>+E61-E18</f>
        <v>92275.566074999995</v>
      </c>
      <c r="F65" s="145">
        <f>+F61-F18</f>
        <v>91326.469849999994</v>
      </c>
      <c r="G65" s="303"/>
      <c r="H65" s="404"/>
    </row>
    <row r="66" spans="1:22" x14ac:dyDescent="0.35">
      <c r="A66" s="303"/>
      <c r="G66" s="222"/>
      <c r="I66" s="222"/>
      <c r="K66" s="222"/>
      <c r="L66" s="222"/>
      <c r="M66" s="222"/>
      <c r="N66" s="222"/>
      <c r="O66" s="222"/>
      <c r="P66" s="222"/>
      <c r="Q66" s="222"/>
      <c r="R66" s="222"/>
      <c r="S66" s="222"/>
      <c r="T66" s="222"/>
      <c r="U66" s="222"/>
      <c r="V66" s="222"/>
    </row>
    <row r="67" spans="1:22" ht="18.5" x14ac:dyDescent="0.35">
      <c r="A67" s="863" t="s">
        <v>554</v>
      </c>
    </row>
    <row r="68" spans="1:22" ht="32" customHeight="1" thickBot="1" x14ac:dyDescent="0.4">
      <c r="A68" s="844"/>
      <c r="Q68" s="844"/>
    </row>
    <row r="69" spans="1:22" x14ac:dyDescent="0.35">
      <c r="A69" s="842" t="s">
        <v>556</v>
      </c>
      <c r="Q69" s="845" t="s">
        <v>555</v>
      </c>
    </row>
    <row r="71" spans="1:22" ht="32" customHeight="1" thickBot="1" x14ac:dyDescent="0.4">
      <c r="A71" s="844"/>
      <c r="Q71" s="844"/>
    </row>
    <row r="72" spans="1:22" x14ac:dyDescent="0.35">
      <c r="A72" s="842" t="s">
        <v>557</v>
      </c>
      <c r="Q72" s="845" t="s">
        <v>555</v>
      </c>
    </row>
    <row r="74" spans="1:22" ht="32" customHeight="1" thickBot="1" x14ac:dyDescent="0.4">
      <c r="A74" s="844"/>
      <c r="Q74" s="844"/>
    </row>
    <row r="75" spans="1:22" x14ac:dyDescent="0.35">
      <c r="A75" s="842" t="s">
        <v>558</v>
      </c>
      <c r="Q75" s="845" t="s">
        <v>555</v>
      </c>
    </row>
  </sheetData>
  <mergeCells count="9">
    <mergeCell ref="A1:Y1"/>
    <mergeCell ref="A13:A14"/>
    <mergeCell ref="B3:F3"/>
    <mergeCell ref="J24:J29"/>
    <mergeCell ref="L2:P2"/>
    <mergeCell ref="R2:V2"/>
    <mergeCell ref="W3:Y3"/>
    <mergeCell ref="W4:Y6"/>
    <mergeCell ref="W16:Y19"/>
  </mergeCells>
  <pageMargins left="0" right="0" top="0.5" bottom="0" header="0.3" footer="0.3"/>
  <pageSetup scale="74" orientation="portrait" horizontalDpi="4294967293" verticalDpi="0" r:id="rId1"/>
  <headerFooter>
    <oddFooter>&amp;R&amp;D</oddFooter>
  </headerFooter>
  <rowBreaks count="1" manualBreakCount="1">
    <brk id="41"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7"/>
  <sheetViews>
    <sheetView workbookViewId="0">
      <selection activeCell="D16" sqref="D16"/>
    </sheetView>
  </sheetViews>
  <sheetFormatPr defaultRowHeight="14.5" x14ac:dyDescent="0.35"/>
  <cols>
    <col min="2" max="2" width="23.08984375" customWidth="1"/>
    <col min="3" max="5" width="11.54296875" customWidth="1"/>
    <col min="6" max="6" width="18.08984375" customWidth="1"/>
    <col min="7" max="7" width="12.6328125" customWidth="1"/>
  </cols>
  <sheetData>
    <row r="2" spans="2:7" x14ac:dyDescent="0.35">
      <c r="B2" t="s">
        <v>347</v>
      </c>
    </row>
    <row r="3" spans="2:7" ht="58" x14ac:dyDescent="0.35">
      <c r="C3" s="574" t="s">
        <v>357</v>
      </c>
      <c r="D3" s="574" t="s">
        <v>358</v>
      </c>
      <c r="E3" s="574"/>
      <c r="F3" s="575" t="s">
        <v>356</v>
      </c>
      <c r="G3" s="574" t="s">
        <v>354</v>
      </c>
    </row>
    <row r="4" spans="2:7" x14ac:dyDescent="0.35">
      <c r="B4">
        <v>2018</v>
      </c>
      <c r="C4" s="576">
        <f>52894+15868</f>
        <v>68762</v>
      </c>
      <c r="D4" s="576">
        <f>52894+15868</f>
        <v>68762</v>
      </c>
      <c r="E4" s="576" t="s">
        <v>350</v>
      </c>
      <c r="F4" s="580">
        <f>52894+15868</f>
        <v>68762</v>
      </c>
      <c r="G4" s="577">
        <f>+F4-D4</f>
        <v>0</v>
      </c>
    </row>
    <row r="6" spans="2:7" x14ac:dyDescent="0.35">
      <c r="B6" t="s">
        <v>348</v>
      </c>
      <c r="C6" s="577">
        <f>+ROUND(C4*(1+0.02),2)</f>
        <v>70137.240000000005</v>
      </c>
      <c r="D6" s="579">
        <v>71240</v>
      </c>
      <c r="E6" s="579" t="s">
        <v>351</v>
      </c>
      <c r="F6" s="580">
        <v>70137</v>
      </c>
      <c r="G6" s="577">
        <f>+F6-D6</f>
        <v>-1103</v>
      </c>
    </row>
    <row r="7" spans="2:7" x14ac:dyDescent="0.35">
      <c r="C7" s="578">
        <f>(+C6-C4)/C4</f>
        <v>2.0000000000000077E-2</v>
      </c>
      <c r="D7" s="578">
        <f>(+D6-D4)/D4</f>
        <v>3.6037346208661759E-2</v>
      </c>
      <c r="E7" s="578"/>
    </row>
    <row r="8" spans="2:7" x14ac:dyDescent="0.35">
      <c r="C8" s="578"/>
      <c r="D8" s="578"/>
      <c r="E8" s="578"/>
    </row>
    <row r="9" spans="2:7" x14ac:dyDescent="0.35">
      <c r="B9" t="s">
        <v>349</v>
      </c>
      <c r="C9" s="577">
        <f>+ROUND(C6*(1+0.02),2)</f>
        <v>71539.98</v>
      </c>
      <c r="D9" s="579">
        <v>73783</v>
      </c>
      <c r="E9" s="579" t="s">
        <v>352</v>
      </c>
      <c r="F9" s="580">
        <v>71540</v>
      </c>
      <c r="G9" s="577">
        <f>+F9-D9</f>
        <v>-2243</v>
      </c>
    </row>
    <row r="10" spans="2:7" x14ac:dyDescent="0.35">
      <c r="C10" s="578">
        <f>(+C9-C6)/C6</f>
        <v>1.9999931562747417E-2</v>
      </c>
      <c r="D10" s="578">
        <f>(+D9-D6)/D6</f>
        <v>3.5696238068500842E-2</v>
      </c>
      <c r="E10" s="578"/>
    </row>
    <row r="11" spans="2:7" x14ac:dyDescent="0.35">
      <c r="C11" s="577"/>
      <c r="D11" s="577"/>
      <c r="E11" s="577"/>
    </row>
    <row r="12" spans="2:7" x14ac:dyDescent="0.35">
      <c r="B12" t="s">
        <v>355</v>
      </c>
      <c r="C12" s="577">
        <f>+ROUND(C9*(1+0.01),2)</f>
        <v>72255.38</v>
      </c>
      <c r="D12" s="579">
        <v>75618</v>
      </c>
      <c r="E12" s="579" t="s">
        <v>353</v>
      </c>
      <c r="F12" s="581">
        <f>+F9*(1+0.01)</f>
        <v>72255.399999999994</v>
      </c>
      <c r="G12" s="581">
        <f>+D12-F9</f>
        <v>4078</v>
      </c>
    </row>
    <row r="13" spans="2:7" x14ac:dyDescent="0.35">
      <c r="C13" s="578">
        <f>(+C12-C9)/C9</f>
        <v>1.0000002795639708E-2</v>
      </c>
      <c r="D13" s="578">
        <f>(+D12-D9)/D9</f>
        <v>2.4870227559193853E-2</v>
      </c>
      <c r="E13" s="578"/>
      <c r="F13" s="578">
        <f>(+F12-F9)/F9</f>
        <v>9.9999999999999187E-3</v>
      </c>
      <c r="G13" s="578">
        <f>+G12/F9</f>
        <v>5.7003075202683814E-2</v>
      </c>
    </row>
    <row r="16" spans="2:7" x14ac:dyDescent="0.35">
      <c r="D16" s="577"/>
      <c r="F16" s="582">
        <f>2000/F9</f>
        <v>2.7956388034665922E-2</v>
      </c>
    </row>
    <row r="17" spans="4:4" x14ac:dyDescent="0.35">
      <c r="D17" s="577"/>
    </row>
  </sheetData>
  <pageMargins left="0.7" right="0.7" top="0.75" bottom="0.75" header="0.3" footer="0.3"/>
  <pageSetup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4"/>
  <sheetViews>
    <sheetView showGridLines="0" topLeftCell="A34" workbookViewId="0">
      <selection activeCell="N4" sqref="N4"/>
    </sheetView>
  </sheetViews>
  <sheetFormatPr defaultRowHeight="14.5" x14ac:dyDescent="0.35"/>
  <cols>
    <col min="1" max="1" width="10" style="136" customWidth="1"/>
    <col min="2" max="2" width="38.453125" style="136" customWidth="1"/>
    <col min="3" max="3" width="13.90625" style="200" hidden="1" customWidth="1"/>
    <col min="4" max="4" width="13.90625" style="136" hidden="1" customWidth="1"/>
    <col min="5" max="5" width="13.90625" style="136" customWidth="1"/>
    <col min="6" max="6" width="0" style="136" hidden="1" customWidth="1"/>
    <col min="7" max="7" width="9.81640625" style="136" hidden="1" customWidth="1"/>
    <col min="8" max="8" width="11.90625" style="136" hidden="1" customWidth="1"/>
    <col min="9" max="10" width="13.90625" style="136" customWidth="1"/>
    <col min="11" max="11" width="10.453125" style="136" bestFit="1" customWidth="1"/>
    <col min="12" max="12" width="11.453125" style="136" customWidth="1"/>
    <col min="13" max="13" width="15.1796875" style="136" customWidth="1"/>
    <col min="14" max="14" width="8.7265625" style="136"/>
    <col min="15" max="26" width="13.90625" style="136" customWidth="1"/>
    <col min="27" max="16384" width="8.7265625" style="136"/>
  </cols>
  <sheetData>
    <row r="1" spans="1:26" ht="21.5" thickBot="1" x14ac:dyDescent="0.4">
      <c r="A1" s="977" t="s">
        <v>346</v>
      </c>
      <c r="B1" s="977"/>
      <c r="C1" s="977"/>
      <c r="D1" s="977"/>
      <c r="E1" s="977"/>
      <c r="F1" s="977"/>
      <c r="G1" s="977"/>
      <c r="H1" s="977"/>
      <c r="I1" s="977"/>
      <c r="J1" s="977"/>
      <c r="K1" s="977"/>
      <c r="L1" s="977"/>
      <c r="M1" s="977"/>
      <c r="N1" s="143"/>
      <c r="O1" s="1088">
        <v>7.0000000000000007E-2</v>
      </c>
      <c r="R1" s="1088">
        <v>0.08</v>
      </c>
      <c r="U1" s="1088">
        <v>0.09</v>
      </c>
      <c r="X1" s="1088">
        <v>0.1</v>
      </c>
    </row>
    <row r="2" spans="1:26" s="813" customFormat="1" ht="10" customHeight="1" thickBot="1" x14ac:dyDescent="0.4">
      <c r="B2" s="814"/>
      <c r="C2" s="815"/>
      <c r="D2" s="815"/>
      <c r="E2" s="816"/>
      <c r="I2" s="815"/>
      <c r="J2" s="815"/>
      <c r="N2" s="1086"/>
      <c r="O2" s="1084" t="str">
        <f>"2023 Estimate at "&amp;O1*100&amp;"%"</f>
        <v>2023 Estimate at 7%</v>
      </c>
      <c r="P2" s="1090"/>
      <c r="Q2" s="1085"/>
      <c r="R2" s="1084" t="str">
        <f>"2023 Estimate at "&amp;R1*100&amp;"%"</f>
        <v>2023 Estimate at 8%</v>
      </c>
      <c r="S2" s="1090"/>
      <c r="T2" s="1085"/>
      <c r="U2" s="1084" t="str">
        <f>"2023 Estimate at "&amp;U1*100&amp;"%"</f>
        <v>2023 Estimate at 9%</v>
      </c>
      <c r="V2" s="1090"/>
      <c r="W2" s="1085"/>
      <c r="X2" s="1084" t="str">
        <f>"2023 Estimate at "&amp;X1*100&amp;"%"</f>
        <v>2023 Estimate at 10%</v>
      </c>
      <c r="Y2" s="1090"/>
      <c r="Z2" s="1085"/>
    </row>
    <row r="3" spans="1:26" ht="29.5" customHeight="1" x14ac:dyDescent="0.35">
      <c r="C3" s="436" t="s">
        <v>340</v>
      </c>
      <c r="D3" s="410" t="s">
        <v>281</v>
      </c>
      <c r="E3" s="629" t="s">
        <v>462</v>
      </c>
      <c r="G3" s="791"/>
      <c r="H3" s="792"/>
      <c r="I3" s="218" t="s">
        <v>457</v>
      </c>
      <c r="J3" s="829" t="s">
        <v>359</v>
      </c>
      <c r="K3" s="985" t="str">
        <f>"To Buy Back one week of vacation is $"&amp;ROUND(+J11/52,0)&amp;" per week"</f>
        <v>To Buy Back one week of vacation is $1291 per week</v>
      </c>
      <c r="L3" s="986"/>
      <c r="M3" s="986"/>
      <c r="O3" s="1083" t="s">
        <v>82</v>
      </c>
      <c r="P3" s="1083" t="str">
        <f>"Full Year with buy-back"</f>
        <v>Full Year with buy-back</v>
      </c>
      <c r="Q3" s="1083" t="str">
        <f>"1/2 Year with buy-back"</f>
        <v>1/2 Year with buy-back</v>
      </c>
      <c r="R3" s="1091" t="s">
        <v>82</v>
      </c>
      <c r="S3" s="1091" t="str">
        <f>"Full Year with buy-back"</f>
        <v>Full Year with buy-back</v>
      </c>
      <c r="T3" s="1091" t="str">
        <f>"1/2 Year with buy-back"</f>
        <v>1/2 Year with buy-back</v>
      </c>
      <c r="U3" s="1083" t="s">
        <v>82</v>
      </c>
      <c r="V3" s="1083" t="str">
        <f>"Full Year with buy-back"</f>
        <v>Full Year with buy-back</v>
      </c>
      <c r="W3" s="1083" t="str">
        <f>"1/2 Year with buy-back"</f>
        <v>1/2 Year with buy-back</v>
      </c>
      <c r="X3" s="1091" t="s">
        <v>82</v>
      </c>
      <c r="Y3" s="1091" t="str">
        <f>"Full Year with buy-back"</f>
        <v>Full Year with buy-back</v>
      </c>
      <c r="Z3" s="1091" t="str">
        <f>"1/2 Year with buy-back"</f>
        <v>1/2 Year with buy-back</v>
      </c>
    </row>
    <row r="4" spans="1:26" ht="14.5" customHeight="1" x14ac:dyDescent="0.35">
      <c r="A4" s="1003" t="s">
        <v>343</v>
      </c>
      <c r="B4" s="443" t="s">
        <v>38</v>
      </c>
      <c r="C4" s="437">
        <f>+C6-C5</f>
        <v>40802</v>
      </c>
      <c r="D4" s="437">
        <f>+D6-D5</f>
        <v>40802</v>
      </c>
      <c r="E4" s="170">
        <f>+E6-E5</f>
        <v>42687</v>
      </c>
      <c r="F4" s="998" t="s">
        <v>463</v>
      </c>
      <c r="G4" s="999"/>
      <c r="H4" s="1000"/>
      <c r="I4" s="409">
        <f>+I11-I5</f>
        <v>44553</v>
      </c>
      <c r="J4" s="846">
        <f>+J6-J5</f>
        <v>47135</v>
      </c>
      <c r="K4" s="1001" t="str">
        <f>"For 2022, 9 years of experience plus a COLA 5% per ELCA quidelines = "&amp;ROUND((+I11-E11)/E11,3)*100&amp;"% increase due to elected vacation purchase."</f>
        <v>For 2022, 9 years of experience plus a COLA 5% per ELCA quidelines = 3% increase due to elected vacation purchase.</v>
      </c>
      <c r="L4" s="1002"/>
      <c r="M4" s="1002"/>
      <c r="O4" s="409">
        <f>+O6-O5</f>
        <v>51834</v>
      </c>
      <c r="P4" s="409"/>
      <c r="Q4" s="409"/>
      <c r="R4" s="437">
        <f>+R6-R5</f>
        <v>72506</v>
      </c>
      <c r="S4" s="437"/>
      <c r="T4" s="437"/>
      <c r="U4" s="409">
        <f>+U6-U5</f>
        <v>53177</v>
      </c>
      <c r="V4" s="409"/>
      <c r="W4" s="409"/>
      <c r="X4" s="437">
        <f>+X6-X5</f>
        <v>73849</v>
      </c>
      <c r="Y4" s="437"/>
      <c r="Z4" s="437"/>
    </row>
    <row r="5" spans="1:26" ht="15" thickBot="1" x14ac:dyDescent="0.4">
      <c r="A5" s="1004"/>
      <c r="B5" s="168" t="s">
        <v>161</v>
      </c>
      <c r="C5" s="175">
        <f>ROUND(+C6*0.3,0)</f>
        <v>17487</v>
      </c>
      <c r="D5" s="175">
        <f>ROUND(+D6*0.3,0)</f>
        <v>17487</v>
      </c>
      <c r="E5" s="440">
        <v>20000</v>
      </c>
      <c r="F5" s="998"/>
      <c r="G5" s="999"/>
      <c r="H5" s="1000"/>
      <c r="I5" s="421">
        <v>20000</v>
      </c>
      <c r="J5" s="847">
        <v>20000</v>
      </c>
      <c r="K5" s="1001"/>
      <c r="L5" s="1002"/>
      <c r="M5" s="1002"/>
      <c r="O5" s="1082">
        <f>+I5</f>
        <v>20000</v>
      </c>
      <c r="P5" s="421"/>
      <c r="Q5" s="421"/>
      <c r="R5" s="1092">
        <f>+L5</f>
        <v>0</v>
      </c>
      <c r="S5" s="440"/>
      <c r="T5" s="440"/>
      <c r="U5" s="1082">
        <f>+O5</f>
        <v>20000</v>
      </c>
      <c r="V5" s="421"/>
      <c r="W5" s="421"/>
      <c r="X5" s="1092">
        <f>+R5</f>
        <v>0</v>
      </c>
      <c r="Y5" s="440"/>
      <c r="Z5" s="440"/>
    </row>
    <row r="6" spans="1:26" ht="14.5" customHeight="1" x14ac:dyDescent="0.35">
      <c r="A6" s="1004"/>
      <c r="B6" s="168" t="s">
        <v>162</v>
      </c>
      <c r="C6" s="438">
        <v>58289</v>
      </c>
      <c r="D6" s="438">
        <v>58289</v>
      </c>
      <c r="E6" s="179">
        <f>+ROUND((62066*1.01),0)</f>
        <v>62687</v>
      </c>
      <c r="F6" s="998"/>
      <c r="G6" s="999"/>
      <c r="H6" s="1000"/>
      <c r="I6" s="408"/>
      <c r="J6" s="625">
        <v>67135</v>
      </c>
      <c r="K6" s="1001"/>
      <c r="L6" s="1002"/>
      <c r="M6" s="1002"/>
      <c r="O6" s="1089">
        <f>ROUND(+$J6*(1+O1),0)</f>
        <v>71834</v>
      </c>
      <c r="P6" s="408"/>
      <c r="Q6" s="408"/>
      <c r="R6" s="1093">
        <f>ROUND(+$J6*(1+R1),0)</f>
        <v>72506</v>
      </c>
      <c r="S6" s="438"/>
      <c r="T6" s="438"/>
      <c r="U6" s="1089">
        <f>ROUND(+$J6*(1+U1),0)</f>
        <v>73177</v>
      </c>
      <c r="V6" s="408"/>
      <c r="W6" s="408"/>
      <c r="X6" s="1093">
        <f>ROUND(+$J6*(1+X1),0)</f>
        <v>73849</v>
      </c>
      <c r="Y6" s="438"/>
      <c r="Z6" s="438"/>
    </row>
    <row r="7" spans="1:26" ht="5.5" customHeight="1" x14ac:dyDescent="0.35">
      <c r="A7" s="1004"/>
      <c r="B7" s="180"/>
      <c r="C7" s="173"/>
      <c r="D7" s="173"/>
      <c r="E7" s="173"/>
      <c r="F7" s="998"/>
      <c r="G7" s="999"/>
      <c r="H7" s="1000"/>
      <c r="I7" s="140"/>
      <c r="J7" s="587"/>
      <c r="K7" s="1001"/>
      <c r="L7" s="1002"/>
      <c r="M7" s="1002"/>
      <c r="N7" s="181"/>
      <c r="O7" s="140"/>
      <c r="P7" s="140"/>
      <c r="Q7" s="140"/>
      <c r="R7" s="173"/>
      <c r="S7" s="173"/>
      <c r="T7" s="173"/>
      <c r="U7" s="140"/>
      <c r="V7" s="140"/>
      <c r="W7" s="140"/>
      <c r="X7" s="173"/>
      <c r="Y7" s="173"/>
      <c r="Z7" s="173"/>
    </row>
    <row r="8" spans="1:26" ht="14.5" customHeight="1" x14ac:dyDescent="0.35">
      <c r="A8" s="1004"/>
      <c r="B8" s="168" t="s">
        <v>172</v>
      </c>
      <c r="C8" s="439">
        <v>1</v>
      </c>
      <c r="D8" s="439">
        <v>0.5</v>
      </c>
      <c r="E8" s="439">
        <v>1</v>
      </c>
      <c r="F8" s="998"/>
      <c r="G8" s="999"/>
      <c r="H8" s="1000"/>
      <c r="I8" s="406">
        <v>1</v>
      </c>
      <c r="J8" s="848">
        <v>1</v>
      </c>
      <c r="K8" s="1001"/>
      <c r="L8" s="1002"/>
      <c r="M8" s="1002"/>
      <c r="N8" s="181"/>
      <c r="O8" s="406">
        <v>1</v>
      </c>
      <c r="P8" s="406">
        <v>1</v>
      </c>
      <c r="Q8" s="406">
        <v>0.5</v>
      </c>
      <c r="R8" s="439">
        <v>1</v>
      </c>
      <c r="S8" s="439">
        <v>1</v>
      </c>
      <c r="T8" s="439">
        <v>0.5</v>
      </c>
      <c r="U8" s="406">
        <v>1</v>
      </c>
      <c r="V8" s="406">
        <v>1</v>
      </c>
      <c r="W8" s="406">
        <v>0.5</v>
      </c>
      <c r="X8" s="439">
        <v>1</v>
      </c>
      <c r="Y8" s="439">
        <v>1</v>
      </c>
      <c r="Z8" s="439">
        <v>0.5</v>
      </c>
    </row>
    <row r="9" spans="1:26" ht="14.5" customHeight="1" x14ac:dyDescent="0.35">
      <c r="A9" s="1004"/>
      <c r="B9" s="180"/>
      <c r="C9" s="173"/>
      <c r="D9" s="173"/>
      <c r="E9" s="173"/>
      <c r="F9" s="998"/>
      <c r="G9" s="999"/>
      <c r="H9" s="1000"/>
      <c r="I9" s="140"/>
      <c r="J9" s="587"/>
      <c r="K9" s="1001"/>
      <c r="L9" s="1002"/>
      <c r="M9" s="1002"/>
      <c r="N9" s="181"/>
      <c r="O9" s="140"/>
      <c r="P9" s="140"/>
      <c r="Q9" s="140"/>
      <c r="R9" s="173"/>
      <c r="S9" s="173"/>
      <c r="T9" s="173"/>
      <c r="U9" s="140"/>
      <c r="V9" s="140"/>
      <c r="W9" s="140"/>
      <c r="X9" s="173"/>
      <c r="Y9" s="173"/>
      <c r="Z9" s="173"/>
    </row>
    <row r="10" spans="1:26" ht="14.5" customHeight="1" x14ac:dyDescent="0.35">
      <c r="A10" s="1004"/>
      <c r="B10" s="168" t="s">
        <v>185</v>
      </c>
      <c r="C10" s="419">
        <v>0</v>
      </c>
      <c r="D10" s="419">
        <v>0</v>
      </c>
      <c r="E10" s="186">
        <v>0</v>
      </c>
      <c r="F10" s="998"/>
      <c r="G10" s="999"/>
      <c r="H10" s="1000"/>
      <c r="I10" s="423">
        <v>0</v>
      </c>
      <c r="J10" s="619">
        <v>0</v>
      </c>
      <c r="K10" s="1001"/>
      <c r="L10" s="1002"/>
      <c r="M10" s="1002"/>
      <c r="N10" s="181"/>
      <c r="O10" s="423">
        <v>0</v>
      </c>
      <c r="P10" s="423">
        <v>0</v>
      </c>
      <c r="Q10" s="423">
        <v>0</v>
      </c>
      <c r="R10" s="419">
        <v>0</v>
      </c>
      <c r="S10" s="419">
        <v>0</v>
      </c>
      <c r="T10" s="419">
        <v>0</v>
      </c>
      <c r="U10" s="423">
        <v>0</v>
      </c>
      <c r="V10" s="423">
        <v>0</v>
      </c>
      <c r="W10" s="423">
        <v>0</v>
      </c>
      <c r="X10" s="419">
        <v>0</v>
      </c>
      <c r="Y10" s="419">
        <v>0</v>
      </c>
      <c r="Z10" s="419">
        <v>0</v>
      </c>
    </row>
    <row r="11" spans="1:26" x14ac:dyDescent="0.35">
      <c r="A11" s="1004"/>
      <c r="B11" s="187" t="s">
        <v>183</v>
      </c>
      <c r="C11" s="411">
        <f>ROUND(+C6*(1+C10)*C8,0)</f>
        <v>58289</v>
      </c>
      <c r="D11" s="411">
        <f>ROUND(+D6*(1+D10)*D8,0)</f>
        <v>29145</v>
      </c>
      <c r="E11" s="567">
        <f>ROUND(+E6*(1+E10)*E8,0)</f>
        <v>62687</v>
      </c>
      <c r="F11" s="998"/>
      <c r="G11" s="999"/>
      <c r="H11" s="1000"/>
      <c r="I11" s="144">
        <f>ROUND((+J6*(1+I10)*I8)-((J6/52)*2),0)</f>
        <v>64553</v>
      </c>
      <c r="J11" s="594">
        <f>ROUND((+J6*(1+J10)*J8),0)</f>
        <v>67135</v>
      </c>
      <c r="K11" s="1001"/>
      <c r="L11" s="1002"/>
      <c r="M11" s="1002"/>
      <c r="N11" s="122">
        <f>+O11-J11</f>
        <v>4699</v>
      </c>
      <c r="O11" s="144">
        <f>ROUND((+O6*(1+O10)*O8),0)</f>
        <v>71834</v>
      </c>
      <c r="P11" s="144">
        <f>ROUND((+O6*(1+P10)*P8)-((O6/52)*2),0)</f>
        <v>69071</v>
      </c>
      <c r="Q11" s="144">
        <f>+O11/12*6</f>
        <v>35917</v>
      </c>
      <c r="R11" s="411">
        <f>ROUND((+R6*(1+R10)*R8),0)</f>
        <v>72506</v>
      </c>
      <c r="S11" s="411">
        <f>ROUND((+R6*(1+S10)*S8)-((R6/52)*2),0)</f>
        <v>69717</v>
      </c>
      <c r="T11" s="411">
        <f>+R11/12*6</f>
        <v>36253</v>
      </c>
      <c r="U11" s="144">
        <f>ROUND((+U6*(1+U10)*U8),0)</f>
        <v>73177</v>
      </c>
      <c r="V11" s="144">
        <f>ROUND((+U6*(1+V10)*V8)-((U6/52)*2),0)</f>
        <v>70363</v>
      </c>
      <c r="W11" s="144">
        <f>+U11/12*6</f>
        <v>36588.5</v>
      </c>
      <c r="X11" s="411">
        <f>ROUND((+X6*(1+X10)*X8),0)</f>
        <v>73849</v>
      </c>
      <c r="Y11" s="411">
        <f>ROUND((+X6*(1+Y10)*Y8)-((X6/52)*2),0)</f>
        <v>71009</v>
      </c>
      <c r="Z11" s="411">
        <f>+X11/12*6</f>
        <v>36924.5</v>
      </c>
    </row>
    <row r="12" spans="1:26" ht="7.5" customHeight="1" x14ac:dyDescent="0.35">
      <c r="A12" s="1004"/>
      <c r="B12" s="1006" t="s">
        <v>342</v>
      </c>
      <c r="C12" s="173"/>
      <c r="D12" s="173"/>
      <c r="E12" s="173"/>
      <c r="I12" s="140"/>
      <c r="J12" s="587"/>
      <c r="L12" s="181"/>
      <c r="M12" s="181"/>
      <c r="N12" s="122">
        <f>+P11-I11</f>
        <v>4518</v>
      </c>
      <c r="O12" s="140"/>
      <c r="P12" s="140"/>
      <c r="Q12" s="140"/>
      <c r="R12" s="173"/>
      <c r="S12" s="173"/>
      <c r="T12" s="173"/>
      <c r="U12" s="140"/>
      <c r="V12" s="140"/>
      <c r="W12" s="140"/>
      <c r="X12" s="173"/>
      <c r="Y12" s="173"/>
      <c r="Z12" s="173"/>
    </row>
    <row r="13" spans="1:26" ht="17" customHeight="1" x14ac:dyDescent="0.35">
      <c r="A13" s="1004"/>
      <c r="B13" s="1006"/>
      <c r="C13" s="192">
        <f>+C27</f>
        <v>0</v>
      </c>
      <c r="D13" s="192">
        <f>+D27</f>
        <v>0</v>
      </c>
      <c r="E13" s="192">
        <f>+E27</f>
        <v>2400</v>
      </c>
      <c r="I13" s="135">
        <f>+I27</f>
        <v>2400</v>
      </c>
      <c r="J13" s="595">
        <f>+J27</f>
        <v>2400</v>
      </c>
      <c r="K13" s="153"/>
      <c r="L13" s="1087"/>
      <c r="M13" s="896"/>
      <c r="N13" s="123">
        <f>+Q11*2</f>
        <v>71834</v>
      </c>
      <c r="O13" s="135">
        <f t="shared" ref="O13:S13" si="0">+O27</f>
        <v>2400</v>
      </c>
      <c r="P13" s="135">
        <f>+P27</f>
        <v>2400</v>
      </c>
      <c r="Q13" s="135">
        <f t="shared" si="0"/>
        <v>1200</v>
      </c>
      <c r="R13" s="192">
        <f t="shared" ref="R13:T13" si="1">+R27</f>
        <v>2400</v>
      </c>
      <c r="S13" s="192">
        <f>+S27</f>
        <v>2400</v>
      </c>
      <c r="T13" s="192">
        <f t="shared" ref="T13:U13" si="2">+T27</f>
        <v>1200</v>
      </c>
      <c r="U13" s="135">
        <f t="shared" si="2"/>
        <v>2400</v>
      </c>
      <c r="V13" s="135">
        <f>+V27</f>
        <v>2400</v>
      </c>
      <c r="W13" s="135">
        <f t="shared" ref="W13:X13" si="3">+W27</f>
        <v>1200</v>
      </c>
      <c r="X13" s="192">
        <f t="shared" si="3"/>
        <v>2400</v>
      </c>
      <c r="Y13" s="192">
        <f>+Y27</f>
        <v>2400</v>
      </c>
      <c r="Z13" s="192">
        <f t="shared" ref="Z13" si="4">+Z27</f>
        <v>1200</v>
      </c>
    </row>
    <row r="14" spans="1:26" ht="8" customHeight="1" thickBot="1" x14ac:dyDescent="0.4">
      <c r="A14" s="1004"/>
      <c r="B14" s="1006"/>
      <c r="C14" s="173"/>
      <c r="D14" s="173"/>
      <c r="E14" s="173"/>
      <c r="I14" s="140"/>
      <c r="J14" s="587"/>
      <c r="K14" s="897"/>
      <c r="L14" s="897"/>
      <c r="M14" s="897"/>
      <c r="N14" s="566"/>
      <c r="O14" s="140"/>
      <c r="P14" s="140"/>
      <c r="Q14" s="140"/>
      <c r="R14" s="173"/>
      <c r="S14" s="173"/>
      <c r="T14" s="173"/>
      <c r="U14" s="140"/>
      <c r="V14" s="140"/>
      <c r="W14" s="140"/>
      <c r="X14" s="173"/>
      <c r="Y14" s="173"/>
      <c r="Z14" s="173"/>
    </row>
    <row r="15" spans="1:26" x14ac:dyDescent="0.35">
      <c r="A15" s="1004"/>
      <c r="B15" s="187" t="s">
        <v>183</v>
      </c>
      <c r="C15" s="411">
        <f>+C11+C13</f>
        <v>58289</v>
      </c>
      <c r="D15" s="411">
        <f>+D11+D13</f>
        <v>29145</v>
      </c>
      <c r="E15" s="567">
        <f>+E11+E13</f>
        <v>65087</v>
      </c>
      <c r="I15" s="144">
        <f>+I11+I13</f>
        <v>66953</v>
      </c>
      <c r="J15" s="888">
        <f>+J11+J13</f>
        <v>69535</v>
      </c>
      <c r="K15" s="1007" t="s">
        <v>588</v>
      </c>
      <c r="L15" s="1008"/>
      <c r="M15" s="1009"/>
      <c r="N15" s="204"/>
      <c r="O15" s="144">
        <f t="shared" ref="O15:S15" si="5">+O11+O13</f>
        <v>74234</v>
      </c>
      <c r="P15" s="144">
        <f>+P11+P13</f>
        <v>71471</v>
      </c>
      <c r="Q15" s="144">
        <f t="shared" si="5"/>
        <v>37117</v>
      </c>
      <c r="R15" s="411">
        <f t="shared" ref="R15:T15" si="6">+R11+R13</f>
        <v>74906</v>
      </c>
      <c r="S15" s="411">
        <f>+S11+S13</f>
        <v>72117</v>
      </c>
      <c r="T15" s="411">
        <f t="shared" ref="T15:U15" si="7">+T11+T13</f>
        <v>37453</v>
      </c>
      <c r="U15" s="144">
        <f t="shared" si="7"/>
        <v>75577</v>
      </c>
      <c r="V15" s="144">
        <f>+V11+V13</f>
        <v>72763</v>
      </c>
      <c r="W15" s="144">
        <f t="shared" ref="W15:X15" si="8">+W11+W13</f>
        <v>37788.5</v>
      </c>
      <c r="X15" s="411">
        <f t="shared" si="8"/>
        <v>76249</v>
      </c>
      <c r="Y15" s="411">
        <f>+Y11+Y13</f>
        <v>73409</v>
      </c>
      <c r="Z15" s="411">
        <f t="shared" ref="Z15" si="9">+Z11+Z13</f>
        <v>38124.5</v>
      </c>
    </row>
    <row r="16" spans="1:26" ht="6.5" customHeight="1" x14ac:dyDescent="0.35">
      <c r="A16" s="1004"/>
      <c r="B16" s="180"/>
      <c r="C16" s="173"/>
      <c r="D16" s="173"/>
      <c r="E16" s="173"/>
      <c r="I16" s="140"/>
      <c r="J16" s="887"/>
      <c r="K16" s="1010"/>
      <c r="L16" s="1011"/>
      <c r="M16" s="1012"/>
      <c r="N16" s="181"/>
      <c r="O16" s="140"/>
      <c r="P16" s="140"/>
      <c r="Q16" s="140"/>
      <c r="R16" s="173"/>
      <c r="S16" s="173"/>
      <c r="T16" s="173"/>
      <c r="U16" s="140"/>
      <c r="V16" s="140"/>
      <c r="W16" s="140"/>
      <c r="X16" s="173"/>
      <c r="Y16" s="173"/>
      <c r="Z16" s="173"/>
    </row>
    <row r="17" spans="1:26" x14ac:dyDescent="0.35">
      <c r="A17" s="1004"/>
      <c r="B17" s="180" t="s">
        <v>535</v>
      </c>
      <c r="C17" s="194">
        <v>7.6499999999999999E-2</v>
      </c>
      <c r="D17" s="194">
        <v>7.6499999999999999E-2</v>
      </c>
      <c r="E17" s="449">
        <v>7.6499999999999999E-2</v>
      </c>
      <c r="F17" s="1019" t="s">
        <v>345</v>
      </c>
      <c r="G17" s="1020"/>
      <c r="H17" s="1021"/>
      <c r="I17" s="635">
        <v>7.6499999999999999E-2</v>
      </c>
      <c r="J17" s="889">
        <v>7.6499999999999999E-2</v>
      </c>
      <c r="K17" s="1010"/>
      <c r="L17" s="1011"/>
      <c r="M17" s="1012"/>
      <c r="N17" s="122"/>
      <c r="O17" s="635">
        <v>7.6499999999999999E-2</v>
      </c>
      <c r="P17" s="635">
        <v>7.6499999999999999E-2</v>
      </c>
      <c r="Q17" s="635">
        <v>7.6499999999999999E-2</v>
      </c>
      <c r="R17" s="449">
        <v>7.6499999999999999E-2</v>
      </c>
      <c r="S17" s="449">
        <v>7.6499999999999999E-2</v>
      </c>
      <c r="T17" s="449">
        <v>7.6499999999999999E-2</v>
      </c>
      <c r="U17" s="635">
        <v>7.6499999999999999E-2</v>
      </c>
      <c r="V17" s="635">
        <v>7.6499999999999999E-2</v>
      </c>
      <c r="W17" s="635">
        <v>7.6499999999999999E-2</v>
      </c>
      <c r="X17" s="449">
        <v>7.6499999999999999E-2</v>
      </c>
      <c r="Y17" s="449">
        <v>7.6499999999999999E-2</v>
      </c>
      <c r="Z17" s="449">
        <v>7.6499999999999999E-2</v>
      </c>
    </row>
    <row r="18" spans="1:26" x14ac:dyDescent="0.35">
      <c r="A18" s="1004"/>
      <c r="B18" s="180" t="s">
        <v>296</v>
      </c>
      <c r="C18" s="192">
        <f>ROUND(+C15*C17,0)</f>
        <v>4459</v>
      </c>
      <c r="D18" s="192">
        <f>ROUND(+D15*D17,0)</f>
        <v>2230</v>
      </c>
      <c r="E18" s="192">
        <f>ROUND(+E15*E17,0)</f>
        <v>4979</v>
      </c>
      <c r="F18" s="143"/>
      <c r="I18" s="135">
        <f>ROUND(+I15*I17,0)</f>
        <v>5122</v>
      </c>
      <c r="J18" s="886">
        <f>ROUND(+J15*J17,0)</f>
        <v>5319</v>
      </c>
      <c r="K18" s="1010"/>
      <c r="L18" s="1011"/>
      <c r="M18" s="1012"/>
      <c r="N18" s="181"/>
      <c r="O18" s="135">
        <f t="shared" ref="O18:S18" si="10">ROUND(+O15*O17,0)</f>
        <v>5679</v>
      </c>
      <c r="P18" s="135">
        <f>ROUND(+P15*P17,0)</f>
        <v>5468</v>
      </c>
      <c r="Q18" s="135">
        <f t="shared" si="10"/>
        <v>2839</v>
      </c>
      <c r="R18" s="192">
        <f t="shared" ref="R18" si="11">ROUND(+R15*R17,0)</f>
        <v>5730</v>
      </c>
      <c r="S18" s="192">
        <f>ROUND(+S15*S17,0)</f>
        <v>5517</v>
      </c>
      <c r="T18" s="192">
        <f t="shared" ref="T18" si="12">ROUND(+T15*T17,0)</f>
        <v>2865</v>
      </c>
      <c r="U18" s="135">
        <f t="shared" ref="U18" si="13">ROUND(+U15*U17,0)</f>
        <v>5782</v>
      </c>
      <c r="V18" s="135">
        <f>ROUND(+V15*V17,0)</f>
        <v>5566</v>
      </c>
      <c r="W18" s="135">
        <f t="shared" ref="W18" si="14">ROUND(+W15*W17,0)</f>
        <v>2891</v>
      </c>
      <c r="X18" s="192">
        <f t="shared" ref="X18" si="15">ROUND(+X15*X17,0)</f>
        <v>5833</v>
      </c>
      <c r="Y18" s="192">
        <f>ROUND(+Y15*Y17,0)</f>
        <v>5616</v>
      </c>
      <c r="Z18" s="192">
        <f t="shared" ref="Z18" si="16">ROUND(+Z15*Z17,0)</f>
        <v>2917</v>
      </c>
    </row>
    <row r="19" spans="1:26" ht="21" customHeight="1" thickBot="1" x14ac:dyDescent="0.4">
      <c r="A19" s="1005"/>
      <c r="B19" s="195" t="s">
        <v>186</v>
      </c>
      <c r="C19" s="199">
        <f>+C15+C18</f>
        <v>62748</v>
      </c>
      <c r="D19" s="199">
        <f>+D15+D18</f>
        <v>31375</v>
      </c>
      <c r="E19" s="199">
        <f>+E15+E18</f>
        <v>70066</v>
      </c>
      <c r="I19" s="146">
        <f>+I15+I18</f>
        <v>72075</v>
      </c>
      <c r="J19" s="890">
        <f>+J15+J18</f>
        <v>74854</v>
      </c>
      <c r="K19" s="1013"/>
      <c r="L19" s="1014"/>
      <c r="M19" s="1015"/>
      <c r="N19" s="181"/>
      <c r="O19" s="146">
        <f t="shared" ref="O19:S19" si="17">+O15+O18</f>
        <v>79913</v>
      </c>
      <c r="P19" s="146">
        <f>+P15+P18</f>
        <v>76939</v>
      </c>
      <c r="Q19" s="146">
        <f t="shared" si="17"/>
        <v>39956</v>
      </c>
      <c r="R19" s="199">
        <f t="shared" ref="R19" si="18">+R15+R18</f>
        <v>80636</v>
      </c>
      <c r="S19" s="199">
        <f>+S15+S18</f>
        <v>77634</v>
      </c>
      <c r="T19" s="199">
        <f t="shared" ref="T19" si="19">+T15+T18</f>
        <v>40318</v>
      </c>
      <c r="U19" s="146">
        <f t="shared" ref="U19" si="20">+U15+U18</f>
        <v>81359</v>
      </c>
      <c r="V19" s="146">
        <f>+V15+V18</f>
        <v>78329</v>
      </c>
      <c r="W19" s="146">
        <f t="shared" ref="W19" si="21">+W15+W18</f>
        <v>40679.5</v>
      </c>
      <c r="X19" s="199">
        <f t="shared" ref="X19" si="22">+X15+X18</f>
        <v>82082</v>
      </c>
      <c r="Y19" s="199">
        <f>+Y15+Y18</f>
        <v>79025</v>
      </c>
      <c r="Z19" s="199">
        <f t="shared" ref="Z19" si="23">+Z15+Z18</f>
        <v>41041.5</v>
      </c>
    </row>
    <row r="20" spans="1:26" ht="8.5" customHeight="1" x14ac:dyDescent="0.35">
      <c r="B20" s="200"/>
      <c r="D20" s="200"/>
      <c r="E20" s="200"/>
      <c r="I20" s="200"/>
      <c r="J20" s="200"/>
      <c r="K20" s="181"/>
      <c r="L20" s="181"/>
      <c r="M20" s="181"/>
      <c r="N20" s="181"/>
      <c r="O20" s="200"/>
      <c r="P20" s="200"/>
      <c r="Q20" s="200"/>
      <c r="R20" s="200"/>
      <c r="S20" s="200"/>
      <c r="T20" s="200"/>
      <c r="U20" s="200"/>
      <c r="V20" s="200"/>
      <c r="W20" s="200"/>
      <c r="X20" s="200"/>
      <c r="Y20" s="200"/>
      <c r="Z20" s="200"/>
    </row>
    <row r="21" spans="1:26" x14ac:dyDescent="0.35">
      <c r="A21" s="1003" t="s">
        <v>189</v>
      </c>
      <c r="B21" s="166" t="s">
        <v>187</v>
      </c>
      <c r="C21" s="571">
        <f>ROUND(22025*C8,0)</f>
        <v>22025</v>
      </c>
      <c r="D21" s="571">
        <f>ROUND(C21*D$8,0)</f>
        <v>11013</v>
      </c>
      <c r="E21" s="572">
        <v>6000</v>
      </c>
      <c r="I21" s="787">
        <v>6000</v>
      </c>
      <c r="J21" s="849">
        <v>6000</v>
      </c>
      <c r="K21" s="181"/>
      <c r="L21" s="181"/>
      <c r="M21" s="181"/>
      <c r="N21" s="181"/>
      <c r="O21" s="787">
        <v>6000</v>
      </c>
      <c r="P21" s="787">
        <v>6000</v>
      </c>
      <c r="Q21" s="787">
        <v>3000</v>
      </c>
      <c r="R21" s="572">
        <v>6000</v>
      </c>
      <c r="S21" s="572">
        <v>6000</v>
      </c>
      <c r="T21" s="572">
        <v>3000</v>
      </c>
      <c r="U21" s="787">
        <v>6000</v>
      </c>
      <c r="V21" s="787">
        <v>6000</v>
      </c>
      <c r="W21" s="787">
        <v>3000</v>
      </c>
      <c r="X21" s="572">
        <v>6000</v>
      </c>
      <c r="Y21" s="572">
        <v>6000</v>
      </c>
      <c r="Z21" s="572">
        <v>3000</v>
      </c>
    </row>
    <row r="22" spans="1:26" x14ac:dyDescent="0.35">
      <c r="A22" s="1004"/>
      <c r="B22" s="180" t="s">
        <v>209</v>
      </c>
      <c r="C22" s="173"/>
      <c r="D22" s="130"/>
      <c r="E22" s="416">
        <v>0</v>
      </c>
      <c r="I22" s="634">
        <v>0</v>
      </c>
      <c r="J22" s="599">
        <v>0</v>
      </c>
      <c r="K22" s="181"/>
      <c r="L22" s="181"/>
      <c r="M22" s="181"/>
      <c r="N22" s="181"/>
      <c r="O22" s="634">
        <v>0</v>
      </c>
      <c r="P22" s="634">
        <v>0</v>
      </c>
      <c r="Q22" s="634">
        <v>0</v>
      </c>
      <c r="R22" s="416">
        <v>0</v>
      </c>
      <c r="S22" s="416">
        <v>0</v>
      </c>
      <c r="T22" s="416">
        <v>0</v>
      </c>
      <c r="U22" s="634">
        <v>0</v>
      </c>
      <c r="V22" s="634">
        <v>0</v>
      </c>
      <c r="W22" s="634">
        <v>0</v>
      </c>
      <c r="X22" s="416">
        <v>0</v>
      </c>
      <c r="Y22" s="416">
        <v>0</v>
      </c>
      <c r="Z22" s="416">
        <v>0</v>
      </c>
    </row>
    <row r="23" spans="1:26" x14ac:dyDescent="0.35">
      <c r="A23" s="1004"/>
      <c r="B23" s="188" t="s">
        <v>189</v>
      </c>
      <c r="C23" s="173"/>
      <c r="D23" s="133"/>
      <c r="E23" s="417">
        <f>+E21+E22</f>
        <v>6000</v>
      </c>
      <c r="I23" s="636">
        <f>+I21+I22</f>
        <v>6000</v>
      </c>
      <c r="J23" s="604">
        <f>+J21+J22</f>
        <v>6000</v>
      </c>
      <c r="K23" s="181"/>
      <c r="L23" s="181"/>
      <c r="M23" s="181"/>
      <c r="N23" s="181"/>
      <c r="O23" s="636">
        <f t="shared" ref="O23:S23" si="24">+O21+O22</f>
        <v>6000</v>
      </c>
      <c r="P23" s="636">
        <f>+P21+P22</f>
        <v>6000</v>
      </c>
      <c r="Q23" s="636">
        <f t="shared" si="24"/>
        <v>3000</v>
      </c>
      <c r="R23" s="417">
        <f t="shared" ref="R23" si="25">+R21+R22</f>
        <v>6000</v>
      </c>
      <c r="S23" s="417">
        <f>+S21+S22</f>
        <v>6000</v>
      </c>
      <c r="T23" s="417">
        <f t="shared" ref="T23" si="26">+T21+T22</f>
        <v>3000</v>
      </c>
      <c r="U23" s="636">
        <f t="shared" ref="U23" si="27">+U21+U22</f>
        <v>6000</v>
      </c>
      <c r="V23" s="636">
        <f>+V21+V22</f>
        <v>6000</v>
      </c>
      <c r="W23" s="636">
        <f t="shared" ref="W23" si="28">+W21+W22</f>
        <v>3000</v>
      </c>
      <c r="X23" s="417">
        <f t="shared" ref="X23" si="29">+X21+X22</f>
        <v>6000</v>
      </c>
      <c r="Y23" s="417">
        <f>+Y21+Y22</f>
        <v>6000</v>
      </c>
      <c r="Z23" s="417">
        <f t="shared" ref="Z23" si="30">+Z21+Z22</f>
        <v>3000</v>
      </c>
    </row>
    <row r="24" spans="1:26" ht="6.5" customHeight="1" x14ac:dyDescent="0.35">
      <c r="A24" s="1004"/>
      <c r="B24" s="180"/>
      <c r="C24" s="173"/>
      <c r="D24" s="182"/>
      <c r="E24" s="173"/>
      <c r="I24" s="140"/>
      <c r="J24" s="587"/>
      <c r="K24" s="181"/>
      <c r="L24" s="181"/>
      <c r="M24" s="181"/>
      <c r="N24" s="181"/>
      <c r="O24" s="140"/>
      <c r="P24" s="140"/>
      <c r="Q24" s="140"/>
      <c r="R24" s="173"/>
      <c r="S24" s="173"/>
      <c r="T24" s="173"/>
      <c r="U24" s="140"/>
      <c r="V24" s="140"/>
      <c r="W24" s="140"/>
      <c r="X24" s="173"/>
      <c r="Y24" s="173"/>
      <c r="Z24" s="173"/>
    </row>
    <row r="25" spans="1:26" x14ac:dyDescent="0.35">
      <c r="A25" s="1004"/>
      <c r="B25" s="180" t="s">
        <v>308</v>
      </c>
      <c r="C25" s="173"/>
      <c r="D25" s="130"/>
      <c r="E25" s="416">
        <v>1800</v>
      </c>
      <c r="I25" s="634">
        <v>1800</v>
      </c>
      <c r="J25" s="599">
        <v>1800</v>
      </c>
      <c r="K25" s="181"/>
      <c r="L25" s="181"/>
      <c r="M25" s="181"/>
      <c r="N25" s="181"/>
      <c r="O25" s="634">
        <v>1800</v>
      </c>
      <c r="P25" s="634">
        <v>1800</v>
      </c>
      <c r="Q25" s="634">
        <v>900</v>
      </c>
      <c r="R25" s="416">
        <v>1800</v>
      </c>
      <c r="S25" s="416">
        <v>1800</v>
      </c>
      <c r="T25" s="416">
        <v>900</v>
      </c>
      <c r="U25" s="634">
        <v>1800</v>
      </c>
      <c r="V25" s="634">
        <v>1800</v>
      </c>
      <c r="W25" s="634">
        <v>900</v>
      </c>
      <c r="X25" s="416">
        <v>1800</v>
      </c>
      <c r="Y25" s="416">
        <v>1800</v>
      </c>
      <c r="Z25" s="416">
        <v>900</v>
      </c>
    </row>
    <row r="26" spans="1:26" x14ac:dyDescent="0.35">
      <c r="A26" s="1004"/>
      <c r="B26" s="180" t="s">
        <v>529</v>
      </c>
      <c r="C26" s="173"/>
      <c r="D26" s="784"/>
      <c r="E26" s="449">
        <v>0.25</v>
      </c>
      <c r="F26" s="143"/>
      <c r="I26" s="635">
        <v>0.25</v>
      </c>
      <c r="J26" s="602">
        <v>0.25</v>
      </c>
      <c r="K26" s="181"/>
      <c r="L26" s="181"/>
      <c r="M26" s="181"/>
      <c r="N26" s="181"/>
      <c r="O26" s="635">
        <v>0.25</v>
      </c>
      <c r="P26" s="635">
        <v>0.25</v>
      </c>
      <c r="Q26" s="635">
        <v>0.25</v>
      </c>
      <c r="R26" s="449">
        <v>0.25</v>
      </c>
      <c r="S26" s="449">
        <v>0.25</v>
      </c>
      <c r="T26" s="449">
        <v>0.25</v>
      </c>
      <c r="U26" s="635">
        <v>0.25</v>
      </c>
      <c r="V26" s="635">
        <v>0.25</v>
      </c>
      <c r="W26" s="635">
        <v>0.25</v>
      </c>
      <c r="X26" s="449">
        <v>0.25</v>
      </c>
      <c r="Y26" s="449">
        <v>0.25</v>
      </c>
      <c r="Z26" s="449">
        <v>0.25</v>
      </c>
    </row>
    <row r="27" spans="1:26" x14ac:dyDescent="0.35">
      <c r="A27" s="1004"/>
      <c r="B27" s="188" t="s">
        <v>341</v>
      </c>
      <c r="C27" s="453">
        <v>0</v>
      </c>
      <c r="D27" s="452">
        <v>0</v>
      </c>
      <c r="E27" s="417">
        <f>ROUND(+E25/(1-E26),0)</f>
        <v>2400</v>
      </c>
      <c r="F27" s="143"/>
      <c r="I27" s="636">
        <f>ROUND(+I25/(1-I26),0)</f>
        <v>2400</v>
      </c>
      <c r="J27" s="604">
        <f>ROUND(+J25/(1-J26),0)</f>
        <v>2400</v>
      </c>
      <c r="K27" s="181"/>
      <c r="L27" s="181"/>
      <c r="M27" s="181"/>
      <c r="N27" s="181"/>
      <c r="O27" s="636">
        <f t="shared" ref="O27:S27" si="31">ROUND(+O25/(1-O26),0)</f>
        <v>2400</v>
      </c>
      <c r="P27" s="636">
        <f>ROUND(+P25/(1-P26),0)</f>
        <v>2400</v>
      </c>
      <c r="Q27" s="636">
        <f t="shared" si="31"/>
        <v>1200</v>
      </c>
      <c r="R27" s="417">
        <f t="shared" ref="R27" si="32">ROUND(+R25/(1-R26),0)</f>
        <v>2400</v>
      </c>
      <c r="S27" s="417">
        <f>ROUND(+S25/(1-S26),0)</f>
        <v>2400</v>
      </c>
      <c r="T27" s="417">
        <f t="shared" ref="T27" si="33">ROUND(+T25/(1-T26),0)</f>
        <v>1200</v>
      </c>
      <c r="U27" s="636">
        <f t="shared" ref="U27" si="34">ROUND(+U25/(1-U26),0)</f>
        <v>2400</v>
      </c>
      <c r="V27" s="636">
        <f>ROUND(+V25/(1-V26),0)</f>
        <v>2400</v>
      </c>
      <c r="W27" s="636">
        <f t="shared" ref="W27" si="35">ROUND(+W25/(1-W26),0)</f>
        <v>1200</v>
      </c>
      <c r="X27" s="417">
        <f t="shared" ref="X27" si="36">ROUND(+X25/(1-X26),0)</f>
        <v>2400</v>
      </c>
      <c r="Y27" s="417">
        <f>ROUND(+Y25/(1-Y26),0)</f>
        <v>2400</v>
      </c>
      <c r="Z27" s="417">
        <f t="shared" ref="Z27" si="37">ROUND(+Z25/(1-Z26),0)</f>
        <v>1200</v>
      </c>
    </row>
    <row r="28" spans="1:26" x14ac:dyDescent="0.35">
      <c r="A28" s="1005"/>
      <c r="B28" s="195" t="s">
        <v>190</v>
      </c>
      <c r="C28" s="568">
        <v>0</v>
      </c>
      <c r="D28" s="785">
        <v>0</v>
      </c>
      <c r="E28" s="199">
        <f>+E23-E25</f>
        <v>4200</v>
      </c>
      <c r="I28" s="146">
        <f>+I23-I25</f>
        <v>4200</v>
      </c>
      <c r="J28" s="597">
        <f>+J23-J25</f>
        <v>4200</v>
      </c>
      <c r="K28" s="181"/>
      <c r="L28" s="181"/>
      <c r="M28" s="181"/>
      <c r="N28" s="181"/>
      <c r="O28" s="146">
        <f t="shared" ref="O28:S28" si="38">+O23-O25</f>
        <v>4200</v>
      </c>
      <c r="P28" s="146">
        <f>+P23-P25</f>
        <v>4200</v>
      </c>
      <c r="Q28" s="146">
        <f t="shared" si="38"/>
        <v>2100</v>
      </c>
      <c r="R28" s="199">
        <f t="shared" ref="R28:T28" si="39">+R23-R25</f>
        <v>4200</v>
      </c>
      <c r="S28" s="199">
        <f>+S23-S25</f>
        <v>4200</v>
      </c>
      <c r="T28" s="199">
        <f t="shared" ref="T28:U28" si="40">+T23-T25</f>
        <v>2100</v>
      </c>
      <c r="U28" s="146">
        <f t="shared" si="40"/>
        <v>4200</v>
      </c>
      <c r="V28" s="146">
        <f>+V23-V25</f>
        <v>4200</v>
      </c>
      <c r="W28" s="146">
        <f t="shared" ref="W28:X28" si="41">+W23-W25</f>
        <v>2100</v>
      </c>
      <c r="X28" s="199">
        <f t="shared" si="41"/>
        <v>4200</v>
      </c>
      <c r="Y28" s="199">
        <f>+Y23-Y25</f>
        <v>4200</v>
      </c>
      <c r="Z28" s="199">
        <f t="shared" ref="Z28" si="42">+Z23-Z25</f>
        <v>2100</v>
      </c>
    </row>
    <row r="29" spans="1:26" ht="7" customHeight="1" x14ac:dyDescent="0.35">
      <c r="B29" s="200"/>
      <c r="D29" s="200"/>
      <c r="E29" s="200"/>
      <c r="I29" s="200"/>
      <c r="J29" s="200"/>
      <c r="K29" s="181"/>
      <c r="L29" s="181"/>
      <c r="M29" s="181"/>
      <c r="N29" s="181"/>
      <c r="O29" s="200"/>
      <c r="P29" s="200"/>
      <c r="Q29" s="200"/>
      <c r="R29" s="200"/>
      <c r="S29" s="200"/>
      <c r="T29" s="200"/>
      <c r="U29" s="200"/>
      <c r="V29" s="200"/>
      <c r="W29" s="200"/>
      <c r="X29" s="200"/>
      <c r="Y29" s="200"/>
      <c r="Z29" s="200"/>
    </row>
    <row r="30" spans="1:26" x14ac:dyDescent="0.35">
      <c r="A30" s="1003" t="s">
        <v>165</v>
      </c>
      <c r="B30" s="201" t="s">
        <v>530</v>
      </c>
      <c r="C30" s="441">
        <v>0.1</v>
      </c>
      <c r="D30" s="441">
        <v>0.1</v>
      </c>
      <c r="E30" s="418">
        <v>0.1</v>
      </c>
      <c r="I30" s="630">
        <v>0.1</v>
      </c>
      <c r="J30" s="613">
        <v>0.1</v>
      </c>
      <c r="K30" s="181"/>
      <c r="L30" s="181"/>
      <c r="M30" s="181"/>
      <c r="N30" s="181"/>
      <c r="O30" s="630">
        <v>0.1</v>
      </c>
      <c r="P30" s="630">
        <v>0.1</v>
      </c>
      <c r="Q30" s="630">
        <v>0.1</v>
      </c>
      <c r="R30" s="418">
        <v>0.1</v>
      </c>
      <c r="S30" s="418">
        <v>0.1</v>
      </c>
      <c r="T30" s="418">
        <v>0.1</v>
      </c>
      <c r="U30" s="630">
        <v>0.1</v>
      </c>
      <c r="V30" s="630">
        <v>0.1</v>
      </c>
      <c r="W30" s="630">
        <v>0.1</v>
      </c>
      <c r="X30" s="418">
        <v>0.1</v>
      </c>
      <c r="Y30" s="418">
        <v>0.1</v>
      </c>
      <c r="Z30" s="418">
        <v>0.1</v>
      </c>
    </row>
    <row r="31" spans="1:26" x14ac:dyDescent="0.35">
      <c r="A31" s="1004"/>
      <c r="B31" s="180" t="s">
        <v>194</v>
      </c>
      <c r="C31" s="170">
        <f>+C19</f>
        <v>62748</v>
      </c>
      <c r="D31" s="170">
        <f>+D19</f>
        <v>31375</v>
      </c>
      <c r="E31" s="442">
        <f>+E19</f>
        <v>70066</v>
      </c>
      <c r="I31" s="426">
        <f>+I19</f>
        <v>72075</v>
      </c>
      <c r="J31" s="793">
        <f>+J19</f>
        <v>74854</v>
      </c>
      <c r="K31" s="181"/>
      <c r="L31" s="181"/>
      <c r="M31" s="181"/>
      <c r="N31" s="181"/>
      <c r="O31" s="426">
        <f t="shared" ref="O31:S31" si="43">+O19</f>
        <v>79913</v>
      </c>
      <c r="P31" s="426">
        <f>+P19</f>
        <v>76939</v>
      </c>
      <c r="Q31" s="426">
        <f t="shared" si="43"/>
        <v>39956</v>
      </c>
      <c r="R31" s="442">
        <f t="shared" ref="R31:T31" si="44">+R19</f>
        <v>80636</v>
      </c>
      <c r="S31" s="442">
        <f>+S19</f>
        <v>77634</v>
      </c>
      <c r="T31" s="442">
        <f t="shared" ref="T31:U31" si="45">+T19</f>
        <v>40318</v>
      </c>
      <c r="U31" s="426">
        <f t="shared" si="45"/>
        <v>81359</v>
      </c>
      <c r="V31" s="426">
        <f>+V19</f>
        <v>78329</v>
      </c>
      <c r="W31" s="426">
        <f t="shared" ref="W31:X31" si="46">+W19</f>
        <v>40679.5</v>
      </c>
      <c r="X31" s="442">
        <f t="shared" si="46"/>
        <v>82082</v>
      </c>
      <c r="Y31" s="442">
        <f>+Y19</f>
        <v>79025</v>
      </c>
      <c r="Z31" s="442">
        <f t="shared" ref="Z31" si="47">+Z19</f>
        <v>41041.5</v>
      </c>
    </row>
    <row r="32" spans="1:26" x14ac:dyDescent="0.35">
      <c r="A32" s="1004"/>
      <c r="B32" s="180" t="s">
        <v>165</v>
      </c>
      <c r="C32" s="170">
        <f>ROUND(+C31*C30,0)</f>
        <v>6275</v>
      </c>
      <c r="D32" s="170">
        <f>ROUND(+D31*D30,0)</f>
        <v>3138</v>
      </c>
      <c r="E32" s="442">
        <f>ROUND(+E31*E30,0)</f>
        <v>7007</v>
      </c>
      <c r="I32" s="426">
        <f>ROUND(+I31*I30,0)</f>
        <v>7208</v>
      </c>
      <c r="J32" s="793">
        <f>ROUND(+J31*J30,0)</f>
        <v>7485</v>
      </c>
      <c r="O32" s="426">
        <f t="shared" ref="O32:S32" si="48">ROUND(+O31*O30,0)</f>
        <v>7991</v>
      </c>
      <c r="P32" s="426">
        <f>ROUND(+P31*P30,0)</f>
        <v>7694</v>
      </c>
      <c r="Q32" s="426">
        <f t="shared" si="48"/>
        <v>3996</v>
      </c>
      <c r="R32" s="442">
        <f t="shared" ref="R32" si="49">ROUND(+R31*R30,0)</f>
        <v>8064</v>
      </c>
      <c r="S32" s="442">
        <f>ROUND(+S31*S30,0)</f>
        <v>7763</v>
      </c>
      <c r="T32" s="442">
        <f t="shared" ref="T32" si="50">ROUND(+T31*T30,0)</f>
        <v>4032</v>
      </c>
      <c r="U32" s="426">
        <f t="shared" ref="U32" si="51">ROUND(+U31*U30,0)</f>
        <v>8136</v>
      </c>
      <c r="V32" s="426">
        <f>ROUND(+V31*V30,0)</f>
        <v>7833</v>
      </c>
      <c r="W32" s="426">
        <f t="shared" ref="W32" si="52">ROUND(+W31*W30,0)</f>
        <v>4068</v>
      </c>
      <c r="X32" s="442">
        <f t="shared" ref="X32" si="53">ROUND(+X31*X30,0)</f>
        <v>8208</v>
      </c>
      <c r="Y32" s="442">
        <f>ROUND(+Y31*Y30,0)</f>
        <v>7903</v>
      </c>
      <c r="Z32" s="442">
        <f t="shared" ref="Z32" si="54">ROUND(+Z31*Z30,0)</f>
        <v>4104</v>
      </c>
    </row>
    <row r="33" spans="1:26" x14ac:dyDescent="0.35">
      <c r="A33" s="1004"/>
      <c r="B33" s="180" t="s">
        <v>192</v>
      </c>
      <c r="C33" s="170">
        <f>+C28</f>
        <v>0</v>
      </c>
      <c r="D33" s="170">
        <f>+D28</f>
        <v>0</v>
      </c>
      <c r="E33" s="442">
        <f>+E28</f>
        <v>4200</v>
      </c>
      <c r="I33" s="426">
        <f>+I28</f>
        <v>4200</v>
      </c>
      <c r="J33" s="793">
        <f>+J28</f>
        <v>4200</v>
      </c>
      <c r="O33" s="426">
        <f t="shared" ref="O33:S33" si="55">+O28</f>
        <v>4200</v>
      </c>
      <c r="P33" s="426">
        <f>+P28</f>
        <v>4200</v>
      </c>
      <c r="Q33" s="426">
        <f t="shared" si="55"/>
        <v>2100</v>
      </c>
      <c r="R33" s="442">
        <f t="shared" ref="R33:T33" si="56">+R28</f>
        <v>4200</v>
      </c>
      <c r="S33" s="442">
        <f>+S28</f>
        <v>4200</v>
      </c>
      <c r="T33" s="442">
        <f t="shared" ref="T33:U33" si="57">+T28</f>
        <v>2100</v>
      </c>
      <c r="U33" s="426">
        <f t="shared" si="57"/>
        <v>4200</v>
      </c>
      <c r="V33" s="426">
        <f>+V28</f>
        <v>4200</v>
      </c>
      <c r="W33" s="426">
        <f t="shared" ref="W33:X33" si="58">+W28</f>
        <v>2100</v>
      </c>
      <c r="X33" s="442">
        <f t="shared" si="58"/>
        <v>4200</v>
      </c>
      <c r="Y33" s="442">
        <f>+Y28</f>
        <v>4200</v>
      </c>
      <c r="Z33" s="442">
        <f t="shared" ref="Z33" si="59">+Z28</f>
        <v>2100</v>
      </c>
    </row>
    <row r="34" spans="1:26" x14ac:dyDescent="0.35">
      <c r="A34" s="1004"/>
      <c r="B34" s="180" t="s">
        <v>310</v>
      </c>
      <c r="C34" s="170"/>
      <c r="D34" s="170"/>
      <c r="E34" s="442">
        <f>+E33+E32</f>
        <v>11207</v>
      </c>
      <c r="I34" s="426">
        <f>+I33+I32</f>
        <v>11408</v>
      </c>
      <c r="J34" s="793">
        <f>+J33+J32</f>
        <v>11685</v>
      </c>
      <c r="O34" s="426">
        <f t="shared" ref="O34:S34" si="60">+O33+O32</f>
        <v>12191</v>
      </c>
      <c r="P34" s="426">
        <f>+P33+P32</f>
        <v>11894</v>
      </c>
      <c r="Q34" s="426">
        <f t="shared" si="60"/>
        <v>6096</v>
      </c>
      <c r="R34" s="442">
        <f t="shared" ref="R34" si="61">+R33+R32</f>
        <v>12264</v>
      </c>
      <c r="S34" s="442">
        <f>+S33+S32</f>
        <v>11963</v>
      </c>
      <c r="T34" s="442">
        <f t="shared" ref="T34" si="62">+T33+T32</f>
        <v>6132</v>
      </c>
      <c r="U34" s="426">
        <f t="shared" ref="U34" si="63">+U33+U32</f>
        <v>12336</v>
      </c>
      <c r="V34" s="426">
        <f>+V33+V32</f>
        <v>12033</v>
      </c>
      <c r="W34" s="426">
        <f t="shared" ref="W34" si="64">+W33+W32</f>
        <v>6168</v>
      </c>
      <c r="X34" s="442">
        <f t="shared" ref="X34" si="65">+X33+X32</f>
        <v>12408</v>
      </c>
      <c r="Y34" s="442">
        <f>+Y33+Y32</f>
        <v>12103</v>
      </c>
      <c r="Z34" s="442">
        <f t="shared" ref="Z34" si="66">+Z33+Z32</f>
        <v>6204</v>
      </c>
    </row>
    <row r="35" spans="1:26" x14ac:dyDescent="0.35">
      <c r="A35" s="1004"/>
      <c r="B35" s="180" t="s">
        <v>197</v>
      </c>
      <c r="C35" s="860">
        <f>+C37/C31</f>
        <v>0.10000318735258494</v>
      </c>
      <c r="D35" s="860">
        <f>+D37/D31</f>
        <v>0.10001593625498008</v>
      </c>
      <c r="E35" s="627">
        <f>+E34/E19</f>
        <v>0.15994919076299488</v>
      </c>
      <c r="I35" s="448">
        <f>+I34/I19</f>
        <v>0.15827956989247313</v>
      </c>
      <c r="J35" s="592">
        <f>+J34/J19</f>
        <v>0.15610388222406285</v>
      </c>
      <c r="O35" s="448">
        <f t="shared" ref="O35:S35" si="67">+O34/O19</f>
        <v>0.15255340182448413</v>
      </c>
      <c r="P35" s="448">
        <f>+P34/P19</f>
        <v>0.15458999987002692</v>
      </c>
      <c r="Q35" s="448">
        <f t="shared" si="67"/>
        <v>0.15256782460706778</v>
      </c>
      <c r="R35" s="627">
        <f t="shared" ref="R35" si="68">+R34/R19</f>
        <v>0.15209087752368669</v>
      </c>
      <c r="S35" s="627">
        <f>+S34/S19</f>
        <v>0.15409485534688411</v>
      </c>
      <c r="T35" s="627">
        <f t="shared" ref="T35" si="69">+T34/T19</f>
        <v>0.15209087752368669</v>
      </c>
      <c r="U35" s="448">
        <f t="shared" ref="U35" si="70">+U34/U19</f>
        <v>0.15162428250101403</v>
      </c>
      <c r="V35" s="448">
        <f>+V34/V19</f>
        <v>0.15362126415503835</v>
      </c>
      <c r="W35" s="448">
        <f t="shared" ref="W35" si="71">+W34/W19</f>
        <v>0.15162428250101403</v>
      </c>
      <c r="X35" s="627">
        <f t="shared" ref="X35" si="72">+X34/X19</f>
        <v>0.15116590726346824</v>
      </c>
      <c r="Y35" s="627">
        <f>+Y34/Y19</f>
        <v>0.15315406516925023</v>
      </c>
      <c r="Z35" s="627">
        <f t="shared" ref="Z35" si="73">+Z34/Z19</f>
        <v>0.1511640656408757</v>
      </c>
    </row>
    <row r="36" spans="1:26" x14ac:dyDescent="0.35">
      <c r="A36" s="1004"/>
      <c r="B36" s="180" t="s">
        <v>309</v>
      </c>
      <c r="C36" s="170"/>
      <c r="D36" s="170"/>
      <c r="E36" s="628">
        <v>0.16</v>
      </c>
      <c r="I36" s="633">
        <v>0.16</v>
      </c>
      <c r="J36" s="593">
        <v>0.155</v>
      </c>
      <c r="O36" s="633">
        <v>0.15</v>
      </c>
      <c r="P36" s="633">
        <v>0.16</v>
      </c>
      <c r="Q36" s="633">
        <v>0.15</v>
      </c>
      <c r="R36" s="628">
        <v>0.15</v>
      </c>
      <c r="S36" s="628">
        <v>0.15</v>
      </c>
      <c r="T36" s="628">
        <v>0.15</v>
      </c>
      <c r="U36" s="633">
        <v>0.15</v>
      </c>
      <c r="V36" s="633">
        <v>0.15</v>
      </c>
      <c r="W36" s="633">
        <v>0.15</v>
      </c>
      <c r="X36" s="628">
        <v>0.15</v>
      </c>
      <c r="Y36" s="628">
        <v>0.15</v>
      </c>
      <c r="Z36" s="628">
        <v>0.15</v>
      </c>
    </row>
    <row r="37" spans="1:26" x14ac:dyDescent="0.35">
      <c r="A37" s="1005"/>
      <c r="B37" s="195" t="s">
        <v>193</v>
      </c>
      <c r="C37" s="199">
        <f t="shared" ref="C37" si="74">+C32+C33</f>
        <v>6275</v>
      </c>
      <c r="D37" s="199">
        <f t="shared" ref="D37" si="75">+D32+D33</f>
        <v>3138</v>
      </c>
      <c r="E37" s="414">
        <f>ROUND(+E36*E19,0)</f>
        <v>11211</v>
      </c>
      <c r="I37" s="221">
        <f>ROUND(+I36*I19,0)</f>
        <v>11532</v>
      </c>
      <c r="J37" s="623">
        <f>ROUND(+J36*J19,0)</f>
        <v>11602</v>
      </c>
      <c r="O37" s="221">
        <f t="shared" ref="O37:S37" si="76">ROUND(+O36*O19,0)</f>
        <v>11987</v>
      </c>
      <c r="P37" s="221">
        <f>ROUND(+P36*P19,0)</f>
        <v>12310</v>
      </c>
      <c r="Q37" s="221">
        <f t="shared" si="76"/>
        <v>5993</v>
      </c>
      <c r="R37" s="414">
        <f t="shared" ref="R37" si="77">ROUND(+R36*R19,0)</f>
        <v>12095</v>
      </c>
      <c r="S37" s="414">
        <f>ROUND(+S36*S19,0)</f>
        <v>11645</v>
      </c>
      <c r="T37" s="414">
        <f t="shared" ref="T37" si="78">ROUND(+T36*T19,0)</f>
        <v>6048</v>
      </c>
      <c r="U37" s="221">
        <f t="shared" ref="U37" si="79">ROUND(+U36*U19,0)</f>
        <v>12204</v>
      </c>
      <c r="V37" s="221">
        <f>ROUND(+V36*V19,0)</f>
        <v>11749</v>
      </c>
      <c r="W37" s="221">
        <f t="shared" ref="W37" si="80">ROUND(+W36*W19,0)</f>
        <v>6102</v>
      </c>
      <c r="X37" s="414">
        <f t="shared" ref="X37" si="81">ROUND(+X36*X19,0)</f>
        <v>12312</v>
      </c>
      <c r="Y37" s="414">
        <f>ROUND(+Y36*Y19,0)</f>
        <v>11854</v>
      </c>
      <c r="Z37" s="414">
        <f t="shared" ref="Z37" si="82">ROUND(+Z36*Z19,0)</f>
        <v>6156</v>
      </c>
    </row>
    <row r="38" spans="1:26" ht="7" customHeight="1" x14ac:dyDescent="0.35">
      <c r="B38" s="200"/>
      <c r="D38" s="200"/>
      <c r="E38" s="200"/>
      <c r="I38" s="200"/>
      <c r="J38" s="200"/>
      <c r="O38" s="200"/>
      <c r="P38" s="200"/>
      <c r="Q38" s="200"/>
      <c r="R38" s="200"/>
      <c r="S38" s="200"/>
      <c r="T38" s="200"/>
      <c r="U38" s="200"/>
      <c r="V38" s="200"/>
      <c r="W38" s="200"/>
      <c r="X38" s="200"/>
      <c r="Y38" s="200"/>
      <c r="Z38" s="200"/>
    </row>
    <row r="39" spans="1:26" x14ac:dyDescent="0.35">
      <c r="A39" s="1003" t="s">
        <v>166</v>
      </c>
      <c r="B39" s="166" t="s">
        <v>531</v>
      </c>
      <c r="C39" s="441">
        <v>1.4999999999999999E-2</v>
      </c>
      <c r="D39" s="441">
        <v>1.4999999999999999E-2</v>
      </c>
      <c r="E39" s="441">
        <v>1.4999999999999999E-2</v>
      </c>
      <c r="I39" s="422">
        <v>1.4999999999999999E-2</v>
      </c>
      <c r="J39" s="850">
        <v>1.4999999999999999E-2</v>
      </c>
      <c r="O39" s="422">
        <v>1.4999999999999999E-2</v>
      </c>
      <c r="P39" s="422">
        <v>1.4999999999999999E-2</v>
      </c>
      <c r="Q39" s="422">
        <v>1.4999999999999999E-2</v>
      </c>
      <c r="R39" s="441">
        <v>1.4999999999999999E-2</v>
      </c>
      <c r="S39" s="441">
        <v>1.4999999999999999E-2</v>
      </c>
      <c r="T39" s="441">
        <v>1.4999999999999999E-2</v>
      </c>
      <c r="U39" s="422">
        <v>1.4999999999999999E-2</v>
      </c>
      <c r="V39" s="422">
        <v>1.4999999999999999E-2</v>
      </c>
      <c r="W39" s="422">
        <v>1.4999999999999999E-2</v>
      </c>
      <c r="X39" s="441">
        <v>1.4999999999999999E-2</v>
      </c>
      <c r="Y39" s="441">
        <v>1.4999999999999999E-2</v>
      </c>
      <c r="Z39" s="441">
        <v>1.4999999999999999E-2</v>
      </c>
    </row>
    <row r="40" spans="1:26" x14ac:dyDescent="0.35">
      <c r="A40" s="1004"/>
      <c r="B40" s="180" t="s">
        <v>532</v>
      </c>
      <c r="C40" s="419">
        <v>7.0000000000000001E-3</v>
      </c>
      <c r="D40" s="419">
        <v>7.0000000000000001E-3</v>
      </c>
      <c r="E40" s="419">
        <v>7.0000000000000001E-3</v>
      </c>
      <c r="I40" s="423">
        <v>7.0000000000000001E-3</v>
      </c>
      <c r="J40" s="619">
        <v>7.0000000000000001E-3</v>
      </c>
      <c r="O40" s="423">
        <v>7.0000000000000001E-3</v>
      </c>
      <c r="P40" s="423">
        <v>7.0000000000000001E-3</v>
      </c>
      <c r="Q40" s="423">
        <v>7.0000000000000001E-3</v>
      </c>
      <c r="R40" s="419">
        <v>7.0000000000000001E-3</v>
      </c>
      <c r="S40" s="419">
        <v>7.0000000000000001E-3</v>
      </c>
      <c r="T40" s="419">
        <v>7.0000000000000001E-3</v>
      </c>
      <c r="U40" s="423">
        <v>7.0000000000000001E-3</v>
      </c>
      <c r="V40" s="423">
        <v>7.0000000000000001E-3</v>
      </c>
      <c r="W40" s="423">
        <v>7.0000000000000001E-3</v>
      </c>
      <c r="X40" s="419">
        <v>7.0000000000000001E-3</v>
      </c>
      <c r="Y40" s="419">
        <v>7.0000000000000001E-3</v>
      </c>
      <c r="Z40" s="419">
        <v>7.0000000000000001E-3</v>
      </c>
    </row>
    <row r="41" spans="1:26" hidden="1" x14ac:dyDescent="0.35">
      <c r="A41" s="1004"/>
      <c r="B41" s="180" t="s">
        <v>300</v>
      </c>
      <c r="C41" s="419">
        <v>7.0000000000000001E-3</v>
      </c>
      <c r="D41" s="419">
        <v>7.0000000000000001E-3</v>
      </c>
      <c r="E41" s="419">
        <v>0</v>
      </c>
      <c r="F41" s="1016" t="s">
        <v>344</v>
      </c>
      <c r="G41" s="1017"/>
      <c r="H41" s="1018"/>
      <c r="I41" s="423">
        <v>0</v>
      </c>
      <c r="J41" s="619">
        <v>0</v>
      </c>
      <c r="O41" s="423">
        <v>0</v>
      </c>
      <c r="P41" s="423">
        <v>0</v>
      </c>
      <c r="Q41" s="423">
        <v>0</v>
      </c>
      <c r="R41" s="419">
        <v>0</v>
      </c>
      <c r="S41" s="419">
        <v>0</v>
      </c>
      <c r="T41" s="419">
        <v>0</v>
      </c>
      <c r="U41" s="423">
        <v>0</v>
      </c>
      <c r="V41" s="423">
        <v>0</v>
      </c>
      <c r="W41" s="423">
        <v>0</v>
      </c>
      <c r="X41" s="419">
        <v>0</v>
      </c>
      <c r="Y41" s="419">
        <v>0</v>
      </c>
      <c r="Z41" s="419">
        <v>0</v>
      </c>
    </row>
    <row r="42" spans="1:26" x14ac:dyDescent="0.35">
      <c r="A42" s="1004"/>
      <c r="B42" s="180" t="s">
        <v>533</v>
      </c>
      <c r="C42" s="420">
        <f t="shared" ref="C42" si="83">+C39+C40+C41</f>
        <v>2.8999999999999998E-2</v>
      </c>
      <c r="D42" s="420">
        <f t="shared" ref="D42:E42" si="84">+D39+D40+D41</f>
        <v>2.8999999999999998E-2</v>
      </c>
      <c r="E42" s="420">
        <f t="shared" si="84"/>
        <v>2.1999999999999999E-2</v>
      </c>
      <c r="I42" s="424">
        <f t="shared" ref="I42:J42" si="85">+I39+I40+I41</f>
        <v>2.1999999999999999E-2</v>
      </c>
      <c r="J42" s="620">
        <f t="shared" si="85"/>
        <v>2.1999999999999999E-2</v>
      </c>
      <c r="O42" s="424">
        <f t="shared" ref="O42:S42" si="86">+O39+O40+O41</f>
        <v>2.1999999999999999E-2</v>
      </c>
      <c r="P42" s="424">
        <f>+P39+P40+P41</f>
        <v>2.1999999999999999E-2</v>
      </c>
      <c r="Q42" s="424">
        <f t="shared" si="86"/>
        <v>2.1999999999999999E-2</v>
      </c>
      <c r="R42" s="420">
        <f t="shared" ref="R42:T42" si="87">+R39+R40+R41</f>
        <v>2.1999999999999999E-2</v>
      </c>
      <c r="S42" s="420">
        <f>+S39+S40+S41</f>
        <v>2.1999999999999999E-2</v>
      </c>
      <c r="T42" s="420">
        <f t="shared" ref="T42:U42" si="88">+T39+T40+T41</f>
        <v>2.1999999999999999E-2</v>
      </c>
      <c r="U42" s="424">
        <f t="shared" si="88"/>
        <v>2.1999999999999999E-2</v>
      </c>
      <c r="V42" s="424">
        <f>+V39+V40+V41</f>
        <v>2.1999999999999999E-2</v>
      </c>
      <c r="W42" s="424">
        <f t="shared" ref="W42:X42" si="89">+W39+W40+W41</f>
        <v>2.1999999999999999E-2</v>
      </c>
      <c r="X42" s="420">
        <f t="shared" si="89"/>
        <v>2.1999999999999999E-2</v>
      </c>
      <c r="Y42" s="420">
        <f>+Y39+Y40+Y41</f>
        <v>2.1999999999999999E-2</v>
      </c>
      <c r="Z42" s="420">
        <f t="shared" ref="Z42" si="90">+Z39+Z40+Z41</f>
        <v>2.1999999999999999E-2</v>
      </c>
    </row>
    <row r="43" spans="1:26" x14ac:dyDescent="0.35">
      <c r="A43" s="1004"/>
      <c r="B43" s="180" t="s">
        <v>194</v>
      </c>
      <c r="C43" s="170">
        <f>+C19</f>
        <v>62748</v>
      </c>
      <c r="D43" s="170">
        <f>+D19</f>
        <v>31375</v>
      </c>
      <c r="E43" s="170">
        <f>+E19</f>
        <v>70066</v>
      </c>
      <c r="I43" s="139">
        <f>+I19</f>
        <v>72075</v>
      </c>
      <c r="J43" s="586">
        <f>+J19</f>
        <v>74854</v>
      </c>
      <c r="O43" s="139">
        <f t="shared" ref="O43:S43" si="91">+O19</f>
        <v>79913</v>
      </c>
      <c r="P43" s="139">
        <f>+P19</f>
        <v>76939</v>
      </c>
      <c r="Q43" s="139">
        <f t="shared" si="91"/>
        <v>39956</v>
      </c>
      <c r="R43" s="170">
        <f t="shared" ref="R43:T43" si="92">+R19</f>
        <v>80636</v>
      </c>
      <c r="S43" s="170">
        <f>+S19</f>
        <v>77634</v>
      </c>
      <c r="T43" s="170">
        <f t="shared" ref="T43:U43" si="93">+T19</f>
        <v>40318</v>
      </c>
      <c r="U43" s="139">
        <f t="shared" si="93"/>
        <v>81359</v>
      </c>
      <c r="V43" s="139">
        <f>+V19</f>
        <v>78329</v>
      </c>
      <c r="W43" s="139">
        <f t="shared" ref="W43:X43" si="94">+W19</f>
        <v>40679.5</v>
      </c>
      <c r="X43" s="170">
        <f t="shared" si="94"/>
        <v>82082</v>
      </c>
      <c r="Y43" s="170">
        <f>+Y19</f>
        <v>79025</v>
      </c>
      <c r="Z43" s="170">
        <f t="shared" ref="Z43" si="95">+Z19</f>
        <v>41041.5</v>
      </c>
    </row>
    <row r="44" spans="1:26" x14ac:dyDescent="0.35">
      <c r="A44" s="1005"/>
      <c r="B44" s="156" t="s">
        <v>198</v>
      </c>
      <c r="C44" s="199">
        <f>ROUND(+C43*C42,0)</f>
        <v>1820</v>
      </c>
      <c r="D44" s="199">
        <f>ROUND(+D43*D42,0)</f>
        <v>910</v>
      </c>
      <c r="E44" s="569">
        <f>ROUND(+E43*E42,0)</f>
        <v>1541</v>
      </c>
      <c r="I44" s="146">
        <f>ROUND(+I43*I42,0)</f>
        <v>1586</v>
      </c>
      <c r="J44" s="597">
        <f>ROUND(+J43*J42,0)</f>
        <v>1647</v>
      </c>
      <c r="O44" s="146">
        <f t="shared" ref="O44:S44" si="96">ROUND(+O43*O42,0)</f>
        <v>1758</v>
      </c>
      <c r="P44" s="146">
        <f>ROUND(+P43*P42,0)</f>
        <v>1693</v>
      </c>
      <c r="Q44" s="146">
        <f t="shared" si="96"/>
        <v>879</v>
      </c>
      <c r="R44" s="199">
        <f t="shared" ref="R44" si="97">ROUND(+R43*R42,0)</f>
        <v>1774</v>
      </c>
      <c r="S44" s="199">
        <f>ROUND(+S43*S42,0)</f>
        <v>1708</v>
      </c>
      <c r="T44" s="199">
        <f t="shared" ref="T44" si="98">ROUND(+T43*T42,0)</f>
        <v>887</v>
      </c>
      <c r="U44" s="146">
        <f t="shared" ref="U44" si="99">ROUND(+U43*U42,0)</f>
        <v>1790</v>
      </c>
      <c r="V44" s="146">
        <f>ROUND(+V43*V42,0)</f>
        <v>1723</v>
      </c>
      <c r="W44" s="146">
        <f t="shared" ref="W44" si="100">ROUND(+W43*W42,0)</f>
        <v>895</v>
      </c>
      <c r="X44" s="199">
        <f t="shared" ref="X44" si="101">ROUND(+X43*X42,0)</f>
        <v>1806</v>
      </c>
      <c r="Y44" s="199">
        <f>ROUND(+Y43*Y42,0)</f>
        <v>1739</v>
      </c>
      <c r="Z44" s="199">
        <f t="shared" ref="Z44" si="102">ROUND(+Z43*Z42,0)</f>
        <v>903</v>
      </c>
    </row>
    <row r="45" spans="1:26" ht="7.5" customHeight="1" x14ac:dyDescent="0.35">
      <c r="D45" s="200"/>
      <c r="R45" s="200"/>
      <c r="S45" s="200"/>
      <c r="T45" s="200"/>
      <c r="X45" s="200"/>
      <c r="Y45" s="200"/>
      <c r="Z45" s="200"/>
    </row>
    <row r="46" spans="1:26" x14ac:dyDescent="0.35">
      <c r="A46" s="1003" t="s">
        <v>103</v>
      </c>
      <c r="B46" s="148" t="s">
        <v>203</v>
      </c>
      <c r="C46" s="573">
        <v>1200</v>
      </c>
      <c r="D46" s="786">
        <f>ROUND(C46*D$8,0)</f>
        <v>600</v>
      </c>
      <c r="E46" s="573">
        <v>1200</v>
      </c>
      <c r="I46" s="788">
        <v>1200</v>
      </c>
      <c r="J46" s="851">
        <v>1200</v>
      </c>
      <c r="O46" s="788">
        <v>1200</v>
      </c>
      <c r="P46" s="788">
        <v>1200</v>
      </c>
      <c r="Q46" s="788">
        <v>600</v>
      </c>
      <c r="R46" s="573">
        <v>1200</v>
      </c>
      <c r="S46" s="573">
        <v>1200</v>
      </c>
      <c r="T46" s="573">
        <v>600</v>
      </c>
      <c r="U46" s="788">
        <v>1200</v>
      </c>
      <c r="V46" s="788">
        <v>1200</v>
      </c>
      <c r="W46" s="788">
        <v>600</v>
      </c>
      <c r="X46" s="573">
        <v>1200</v>
      </c>
      <c r="Y46" s="573">
        <v>1200</v>
      </c>
      <c r="Z46" s="573">
        <v>600</v>
      </c>
    </row>
    <row r="47" spans="1:26" x14ac:dyDescent="0.35">
      <c r="A47" s="1004"/>
      <c r="B47" s="150" t="s">
        <v>464</v>
      </c>
      <c r="C47" s="413">
        <v>750</v>
      </c>
      <c r="D47" s="442">
        <f>ROUND(C47*D$8,0)</f>
        <v>375</v>
      </c>
      <c r="E47" s="413">
        <v>1300</v>
      </c>
      <c r="I47" s="220">
        <v>1300</v>
      </c>
      <c r="J47" s="621">
        <v>1300</v>
      </c>
      <c r="O47" s="220">
        <v>1300</v>
      </c>
      <c r="P47" s="220">
        <v>1300</v>
      </c>
      <c r="Q47" s="220">
        <f>+O47/2</f>
        <v>650</v>
      </c>
      <c r="R47" s="413">
        <v>1300</v>
      </c>
      <c r="S47" s="413">
        <v>1300</v>
      </c>
      <c r="T47" s="413">
        <f>+R47/2</f>
        <v>650</v>
      </c>
      <c r="U47" s="220">
        <v>1300</v>
      </c>
      <c r="V47" s="220">
        <v>1300</v>
      </c>
      <c r="W47" s="220">
        <f>+U47/2</f>
        <v>650</v>
      </c>
      <c r="X47" s="413">
        <v>1300</v>
      </c>
      <c r="Y47" s="413">
        <v>1300</v>
      </c>
      <c r="Z47" s="413">
        <f>+X47/2</f>
        <v>650</v>
      </c>
    </row>
    <row r="48" spans="1:26" x14ac:dyDescent="0.35">
      <c r="A48" s="1004"/>
      <c r="B48" s="150" t="s">
        <v>471</v>
      </c>
      <c r="C48" s="413"/>
      <c r="D48" s="442"/>
      <c r="E48" s="413"/>
      <c r="I48" s="220"/>
      <c r="J48" s="621"/>
      <c r="O48" s="220"/>
      <c r="P48" s="220"/>
      <c r="Q48" s="220"/>
      <c r="R48" s="413"/>
      <c r="S48" s="413"/>
      <c r="T48" s="413"/>
      <c r="U48" s="220"/>
      <c r="V48" s="220"/>
      <c r="W48" s="220"/>
      <c r="X48" s="413"/>
      <c r="Y48" s="413"/>
      <c r="Z48" s="413"/>
    </row>
    <row r="49" spans="1:26" x14ac:dyDescent="0.35">
      <c r="A49" s="1004"/>
      <c r="B49" s="150" t="s">
        <v>553</v>
      </c>
      <c r="C49" s="413"/>
      <c r="D49" s="442"/>
      <c r="E49" s="413"/>
      <c r="I49" s="220"/>
      <c r="J49" s="621"/>
      <c r="O49" s="220"/>
      <c r="P49" s="220"/>
      <c r="Q49" s="220"/>
      <c r="R49" s="413"/>
      <c r="S49" s="413"/>
      <c r="T49" s="413"/>
      <c r="U49" s="220"/>
      <c r="V49" s="220"/>
      <c r="W49" s="220"/>
      <c r="X49" s="413"/>
      <c r="Y49" s="413"/>
      <c r="Z49" s="413"/>
    </row>
    <row r="50" spans="1:26" x14ac:dyDescent="0.35">
      <c r="A50" s="1004"/>
      <c r="B50" s="150" t="s">
        <v>103</v>
      </c>
      <c r="C50" s="413">
        <v>600</v>
      </c>
      <c r="D50" s="442">
        <f>ROUND(C50*D$8,0)</f>
        <v>300</v>
      </c>
      <c r="E50" s="413">
        <v>600</v>
      </c>
      <c r="I50" s="220">
        <v>600</v>
      </c>
      <c r="J50" s="621">
        <v>600</v>
      </c>
      <c r="O50" s="220">
        <v>600</v>
      </c>
      <c r="P50" s="220">
        <v>600</v>
      </c>
      <c r="Q50" s="220">
        <v>300</v>
      </c>
      <c r="R50" s="413">
        <v>600</v>
      </c>
      <c r="S50" s="413">
        <v>600</v>
      </c>
      <c r="T50" s="413">
        <v>300</v>
      </c>
      <c r="U50" s="220">
        <v>600</v>
      </c>
      <c r="V50" s="220">
        <v>600</v>
      </c>
      <c r="W50" s="220">
        <v>300</v>
      </c>
      <c r="X50" s="413">
        <v>600</v>
      </c>
      <c r="Y50" s="413">
        <v>600</v>
      </c>
      <c r="Z50" s="413">
        <v>300</v>
      </c>
    </row>
    <row r="51" spans="1:26" x14ac:dyDescent="0.35">
      <c r="A51" s="1004"/>
      <c r="B51" s="180" t="s">
        <v>216</v>
      </c>
      <c r="C51" s="413">
        <v>480</v>
      </c>
      <c r="D51" s="442">
        <f>ROUND(C51*D$8,0)</f>
        <v>240</v>
      </c>
      <c r="E51" s="413">
        <v>480</v>
      </c>
      <c r="F51" s="303"/>
      <c r="G51" s="303"/>
      <c r="H51" s="303"/>
      <c r="I51" s="220">
        <v>480</v>
      </c>
      <c r="J51" s="621">
        <v>480</v>
      </c>
      <c r="O51" s="220">
        <v>480</v>
      </c>
      <c r="P51" s="220">
        <v>480</v>
      </c>
      <c r="Q51" s="220">
        <f>+O51/2</f>
        <v>240</v>
      </c>
      <c r="R51" s="413">
        <v>480</v>
      </c>
      <c r="S51" s="413">
        <v>480</v>
      </c>
      <c r="T51" s="413">
        <f>+R51/2</f>
        <v>240</v>
      </c>
      <c r="U51" s="220">
        <v>480</v>
      </c>
      <c r="V51" s="220">
        <v>480</v>
      </c>
      <c r="W51" s="220">
        <f>+U51/2</f>
        <v>240</v>
      </c>
      <c r="X51" s="413">
        <v>480</v>
      </c>
      <c r="Y51" s="413">
        <v>480</v>
      </c>
      <c r="Z51" s="413">
        <f>+X51/2</f>
        <v>240</v>
      </c>
    </row>
    <row r="52" spans="1:26" hidden="1" x14ac:dyDescent="0.35">
      <c r="A52" s="1004"/>
      <c r="B52" s="180" t="s">
        <v>293</v>
      </c>
      <c r="C52" s="413">
        <v>300</v>
      </c>
      <c r="D52" s="413">
        <v>300</v>
      </c>
      <c r="E52" s="413"/>
      <c r="F52" s="303"/>
      <c r="G52" s="303"/>
      <c r="H52" s="303"/>
      <c r="I52" s="220"/>
      <c r="J52" s="621"/>
      <c r="O52" s="220"/>
      <c r="P52" s="220"/>
      <c r="Q52" s="220"/>
      <c r="R52" s="413"/>
      <c r="S52" s="413"/>
      <c r="T52" s="413"/>
      <c r="U52" s="220"/>
      <c r="V52" s="220"/>
      <c r="W52" s="220"/>
      <c r="X52" s="413"/>
      <c r="Y52" s="413"/>
      <c r="Z52" s="413"/>
    </row>
    <row r="53" spans="1:26" x14ac:dyDescent="0.35">
      <c r="A53" s="1005"/>
      <c r="B53" s="161" t="s">
        <v>205</v>
      </c>
      <c r="C53" s="414">
        <f>+SUM(C46:C52)</f>
        <v>3330</v>
      </c>
      <c r="D53" s="414">
        <f>+SUM(D46:D52)</f>
        <v>1815</v>
      </c>
      <c r="E53" s="570">
        <f>+SUM(E46:E51)</f>
        <v>3580</v>
      </c>
      <c r="H53" s="143"/>
      <c r="I53" s="221">
        <f>+SUM(I46:I51)</f>
        <v>3580</v>
      </c>
      <c r="J53" s="623">
        <f>+SUM(J46:J51)</f>
        <v>3580</v>
      </c>
      <c r="O53" s="221">
        <f t="shared" ref="O53:S53" si="103">+SUM(O46:O51)</f>
        <v>3580</v>
      </c>
      <c r="P53" s="221">
        <f>+SUM(P46:P51)</f>
        <v>3580</v>
      </c>
      <c r="Q53" s="221">
        <f t="shared" si="103"/>
        <v>1790</v>
      </c>
      <c r="R53" s="414">
        <f t="shared" ref="R53:T53" si="104">+SUM(R46:R51)</f>
        <v>3580</v>
      </c>
      <c r="S53" s="414">
        <f>+SUM(S46:S51)</f>
        <v>3580</v>
      </c>
      <c r="T53" s="414">
        <f t="shared" ref="T53:U53" si="105">+SUM(T46:T51)</f>
        <v>1790</v>
      </c>
      <c r="U53" s="221">
        <f t="shared" si="105"/>
        <v>3580</v>
      </c>
      <c r="V53" s="221">
        <f>+SUM(V46:V51)</f>
        <v>3580</v>
      </c>
      <c r="W53" s="221">
        <f t="shared" ref="W53:X53" si="106">+SUM(W46:W51)</f>
        <v>1790</v>
      </c>
      <c r="X53" s="414">
        <f t="shared" si="106"/>
        <v>3580</v>
      </c>
      <c r="Y53" s="414">
        <f>+SUM(Y46:Y51)</f>
        <v>3580</v>
      </c>
      <c r="Z53" s="414">
        <f t="shared" ref="Z53" si="107">+SUM(Z46:Z51)</f>
        <v>1790</v>
      </c>
    </row>
    <row r="54" spans="1:26" ht="8" customHeight="1" x14ac:dyDescent="0.35">
      <c r="D54" s="200"/>
      <c r="R54" s="200"/>
      <c r="S54" s="200"/>
      <c r="T54" s="200"/>
      <c r="X54" s="200"/>
      <c r="Y54" s="200"/>
      <c r="Z54" s="200"/>
    </row>
    <row r="55" spans="1:26" x14ac:dyDescent="0.35">
      <c r="B55" s="164" t="s">
        <v>304</v>
      </c>
      <c r="C55" s="415">
        <f>+C19+C21+C37+C44+C53</f>
        <v>96198</v>
      </c>
      <c r="D55" s="415">
        <f>+D19+D21+D37+D44+D53</f>
        <v>48251</v>
      </c>
      <c r="E55" s="165">
        <f>+E19+E37+E44+E53</f>
        <v>86398</v>
      </c>
      <c r="F55" s="143"/>
      <c r="G55" s="641"/>
      <c r="H55" s="445"/>
      <c r="I55" s="165">
        <f>+I19+I37+I44+I53</f>
        <v>88773</v>
      </c>
      <c r="J55" s="624">
        <f>+J19+J37+J44+J53</f>
        <v>91683</v>
      </c>
      <c r="O55" s="165">
        <f t="shared" ref="O55:S55" si="108">+O19+O37+O44+O53</f>
        <v>97238</v>
      </c>
      <c r="P55" s="165">
        <f>+P19+P37+P44+P53</f>
        <v>94522</v>
      </c>
      <c r="Q55" s="165">
        <f t="shared" si="108"/>
        <v>48618</v>
      </c>
      <c r="R55" s="415">
        <f t="shared" ref="R55:T55" si="109">+R19+R37+R44+R53</f>
        <v>98085</v>
      </c>
      <c r="S55" s="415">
        <f>+S19+S37+S44+S53</f>
        <v>94567</v>
      </c>
      <c r="T55" s="415">
        <f t="shared" ref="T55:U55" si="110">+T19+T37+T44+T53</f>
        <v>49043</v>
      </c>
      <c r="U55" s="165">
        <f t="shared" si="110"/>
        <v>98933</v>
      </c>
      <c r="V55" s="165">
        <f>+V19+V37+V44+V53</f>
        <v>95381</v>
      </c>
      <c r="W55" s="165">
        <f t="shared" ref="W55:X55" si="111">+W19+W37+W44+W53</f>
        <v>49466.5</v>
      </c>
      <c r="X55" s="415">
        <f t="shared" si="111"/>
        <v>99780</v>
      </c>
      <c r="Y55" s="415">
        <f>+Y19+Y37+Y44+Y53</f>
        <v>96198</v>
      </c>
      <c r="Z55" s="415">
        <f t="shared" ref="Z55" si="112">+Z19+Z37+Z44+Z53</f>
        <v>49890.5</v>
      </c>
    </row>
    <row r="56" spans="1:26" ht="14.5" customHeight="1" x14ac:dyDescent="0.35">
      <c r="B56" s="224" t="s">
        <v>282</v>
      </c>
      <c r="C56" s="211"/>
      <c r="D56" s="211"/>
      <c r="E56" s="211"/>
      <c r="I56" s="211">
        <f>+I55-E55</f>
        <v>2375</v>
      </c>
      <c r="J56" s="211">
        <f>+J55-E55</f>
        <v>5285</v>
      </c>
      <c r="O56" s="211">
        <f>+O55-$I55</f>
        <v>8465</v>
      </c>
      <c r="P56" s="211">
        <f>+P55-$I55</f>
        <v>5749</v>
      </c>
      <c r="Q56" s="211"/>
      <c r="R56" s="211">
        <f>+R55-$I55</f>
        <v>9312</v>
      </c>
      <c r="S56" s="211">
        <f>+S55-$I55</f>
        <v>5794</v>
      </c>
      <c r="T56" s="211"/>
      <c r="U56" s="211">
        <f>+U55-$I55</f>
        <v>10160</v>
      </c>
      <c r="V56" s="211">
        <f>+V55-$I55</f>
        <v>6608</v>
      </c>
      <c r="W56" s="211"/>
      <c r="X56" s="211">
        <f>+X55-$I55</f>
        <v>11007</v>
      </c>
      <c r="Y56" s="211">
        <f>+Y55-$I55</f>
        <v>7425</v>
      </c>
      <c r="Z56" s="211"/>
    </row>
    <row r="57" spans="1:26" x14ac:dyDescent="0.35">
      <c r="I57" s="852">
        <f>(+I55-E55)/E55</f>
        <v>2.7489062246811267E-2</v>
      </c>
      <c r="J57" s="852">
        <f>(+J55-E55)/E55</f>
        <v>6.1170397462904237E-2</v>
      </c>
      <c r="O57" s="852">
        <f>(+O55-$I55)/$I55</f>
        <v>9.5355569824158243E-2</v>
      </c>
      <c r="P57" s="852">
        <f>(+P55-$I55)/$I55</f>
        <v>6.476068173881698E-2</v>
      </c>
      <c r="Q57" s="852"/>
      <c r="R57" s="852">
        <f>(+R55-$I55)/$I55</f>
        <v>0.10489675914974148</v>
      </c>
      <c r="S57" s="852">
        <f>(+S55-$I55)/$I55</f>
        <v>6.5267592623883389E-2</v>
      </c>
      <c r="T57" s="852"/>
      <c r="U57" s="852">
        <f>(+U55-$I55)/$I55</f>
        <v>0.11444921316165951</v>
      </c>
      <c r="V57" s="852">
        <f>(+V55-$I55)/$I55</f>
        <v>7.4437047300417919E-2</v>
      </c>
      <c r="W57" s="852"/>
      <c r="X57" s="852">
        <f>(+X55-$I55)/$I55</f>
        <v>0.12399040248724275</v>
      </c>
      <c r="Y57" s="852">
        <f>(+Y55-$I55)/$I55</f>
        <v>8.3640296035956879E-2</v>
      </c>
      <c r="Z57" s="852"/>
    </row>
    <row r="58" spans="1:26" ht="18.5" x14ac:dyDescent="0.35">
      <c r="A58" s="843" t="s">
        <v>554</v>
      </c>
      <c r="C58" s="136"/>
    </row>
    <row r="59" spans="1:26" ht="32" customHeight="1" thickBot="1" x14ac:dyDescent="0.4">
      <c r="A59" s="844"/>
      <c r="B59" s="844"/>
      <c r="C59" s="136"/>
      <c r="I59" s="844"/>
      <c r="O59" s="303"/>
      <c r="P59" s="303"/>
      <c r="Q59" s="303"/>
      <c r="R59" s="303"/>
      <c r="S59" s="303"/>
      <c r="T59" s="303"/>
      <c r="U59" s="303"/>
      <c r="V59" s="303"/>
      <c r="W59" s="303"/>
      <c r="X59" s="303"/>
      <c r="Y59" s="303"/>
      <c r="Z59" s="303"/>
    </row>
    <row r="60" spans="1:26" x14ac:dyDescent="0.35">
      <c r="A60" s="842" t="s">
        <v>559</v>
      </c>
      <c r="C60" s="136"/>
      <c r="I60" s="845" t="s">
        <v>555</v>
      </c>
      <c r="O60" s="1094"/>
      <c r="P60" s="1094"/>
      <c r="Q60" s="1094"/>
      <c r="R60" s="1094"/>
      <c r="S60" s="1094"/>
      <c r="T60" s="1094"/>
      <c r="U60" s="1094"/>
      <c r="V60" s="1094"/>
      <c r="W60" s="1094"/>
      <c r="X60" s="1094"/>
      <c r="Y60" s="1094"/>
      <c r="Z60" s="1094"/>
    </row>
    <row r="61" spans="1:26" x14ac:dyDescent="0.35">
      <c r="C61" s="136"/>
      <c r="O61" s="303"/>
      <c r="P61" s="303"/>
      <c r="Q61" s="303"/>
      <c r="R61" s="303"/>
      <c r="S61" s="303"/>
      <c r="T61" s="303"/>
      <c r="U61" s="303"/>
      <c r="V61" s="303"/>
      <c r="W61" s="303"/>
      <c r="X61" s="303"/>
      <c r="Y61" s="303"/>
      <c r="Z61" s="303"/>
    </row>
    <row r="62" spans="1:26" ht="32" customHeight="1" thickBot="1" x14ac:dyDescent="0.4">
      <c r="A62" s="844"/>
      <c r="B62" s="844"/>
      <c r="C62" s="136"/>
      <c r="I62" s="844"/>
      <c r="O62" s="303"/>
      <c r="P62" s="303"/>
      <c r="Q62" s="303"/>
      <c r="R62" s="303"/>
      <c r="S62" s="303"/>
      <c r="T62" s="303"/>
      <c r="U62" s="303"/>
      <c r="V62" s="303"/>
      <c r="W62" s="303"/>
      <c r="X62" s="303"/>
      <c r="Y62" s="303"/>
      <c r="Z62" s="303"/>
    </row>
    <row r="63" spans="1:26" x14ac:dyDescent="0.35">
      <c r="A63" s="842" t="s">
        <v>557</v>
      </c>
      <c r="C63" s="136"/>
      <c r="I63" s="845" t="s">
        <v>555</v>
      </c>
      <c r="O63" s="1094"/>
      <c r="P63" s="1094"/>
      <c r="Q63" s="1094"/>
      <c r="R63" s="1094"/>
      <c r="S63" s="1094"/>
      <c r="T63" s="1094"/>
      <c r="U63" s="1094"/>
      <c r="V63" s="1094"/>
      <c r="W63" s="1094"/>
      <c r="X63" s="1094"/>
      <c r="Y63" s="1094"/>
      <c r="Z63" s="1094"/>
    </row>
    <row r="64" spans="1:26" x14ac:dyDescent="0.35">
      <c r="C64" s="136"/>
      <c r="O64" s="303"/>
      <c r="P64" s="303"/>
      <c r="Q64" s="303"/>
      <c r="R64" s="303"/>
      <c r="S64" s="303"/>
      <c r="T64" s="303"/>
      <c r="U64" s="303"/>
      <c r="V64" s="303"/>
      <c r="W64" s="303"/>
      <c r="X64" s="303"/>
      <c r="Y64" s="303"/>
      <c r="Z64" s="303"/>
    </row>
    <row r="65" spans="1:26" ht="32" customHeight="1" thickBot="1" x14ac:dyDescent="0.4">
      <c r="A65" s="844"/>
      <c r="B65" s="844"/>
      <c r="C65" s="136"/>
      <c r="I65" s="844"/>
      <c r="O65" s="303"/>
      <c r="P65" s="303"/>
      <c r="Q65" s="303"/>
      <c r="R65" s="303"/>
      <c r="S65" s="303"/>
      <c r="T65" s="303"/>
      <c r="U65" s="303"/>
      <c r="V65" s="303"/>
      <c r="W65" s="303"/>
      <c r="X65" s="303"/>
      <c r="Y65" s="303"/>
      <c r="Z65" s="303"/>
    </row>
    <row r="66" spans="1:26" x14ac:dyDescent="0.35">
      <c r="A66" s="842" t="s">
        <v>558</v>
      </c>
      <c r="C66" s="136"/>
      <c r="I66" s="845" t="s">
        <v>555</v>
      </c>
      <c r="O66" s="1094"/>
      <c r="P66" s="1094"/>
      <c r="Q66" s="1094"/>
      <c r="R66" s="1094"/>
      <c r="S66" s="1094"/>
      <c r="T66" s="1094"/>
      <c r="U66" s="1094"/>
      <c r="V66" s="1094"/>
      <c r="W66" s="1094"/>
      <c r="X66" s="1094"/>
      <c r="Y66" s="1094"/>
      <c r="Z66" s="1094"/>
    </row>
    <row r="67" spans="1:26" x14ac:dyDescent="0.35">
      <c r="O67" s="303"/>
      <c r="P67" s="303"/>
      <c r="Q67" s="303"/>
      <c r="R67" s="303"/>
      <c r="S67" s="303"/>
      <c r="T67" s="303"/>
      <c r="U67" s="303"/>
      <c r="V67" s="303"/>
      <c r="W67" s="303"/>
      <c r="X67" s="303"/>
      <c r="Y67" s="303"/>
      <c r="Z67" s="303"/>
    </row>
    <row r="68" spans="1:26" x14ac:dyDescent="0.35">
      <c r="O68" s="303"/>
      <c r="P68" s="303"/>
      <c r="Q68" s="303"/>
      <c r="R68" s="303"/>
      <c r="S68" s="303"/>
      <c r="T68" s="303"/>
      <c r="U68" s="303"/>
      <c r="V68" s="303"/>
      <c r="W68" s="303"/>
      <c r="X68" s="303"/>
      <c r="Y68" s="303"/>
      <c r="Z68" s="303"/>
    </row>
    <row r="69" spans="1:26" x14ac:dyDescent="0.35">
      <c r="O69" s="303"/>
      <c r="P69" s="303"/>
      <c r="Q69" s="303"/>
      <c r="R69" s="303"/>
      <c r="S69" s="303"/>
      <c r="T69" s="303"/>
      <c r="U69" s="303"/>
      <c r="V69" s="303"/>
      <c r="W69" s="303"/>
      <c r="X69" s="303"/>
      <c r="Y69" s="303"/>
      <c r="Z69" s="303"/>
    </row>
    <row r="70" spans="1:26" x14ac:dyDescent="0.35">
      <c r="O70" s="303"/>
      <c r="P70" s="303"/>
      <c r="Q70" s="303"/>
      <c r="R70" s="303"/>
      <c r="S70" s="303"/>
      <c r="T70" s="303"/>
      <c r="U70" s="303"/>
      <c r="V70" s="303"/>
      <c r="W70" s="303"/>
      <c r="X70" s="303"/>
      <c r="Y70" s="303"/>
      <c r="Z70" s="303"/>
    </row>
    <row r="71" spans="1:26" x14ac:dyDescent="0.35">
      <c r="O71" s="303"/>
      <c r="P71" s="303"/>
      <c r="Q71" s="303"/>
      <c r="R71" s="303"/>
      <c r="S71" s="303"/>
      <c r="T71" s="303"/>
      <c r="U71" s="303"/>
      <c r="V71" s="303"/>
      <c r="W71" s="303"/>
      <c r="X71" s="303"/>
      <c r="Y71" s="303"/>
      <c r="Z71" s="303"/>
    </row>
    <row r="72" spans="1:26" x14ac:dyDescent="0.35">
      <c r="O72" s="303"/>
      <c r="P72" s="303"/>
      <c r="Q72" s="303"/>
      <c r="R72" s="303"/>
      <c r="S72" s="303"/>
      <c r="T72" s="303"/>
      <c r="U72" s="303"/>
      <c r="V72" s="303"/>
      <c r="W72" s="303"/>
      <c r="X72" s="303"/>
      <c r="Y72" s="303"/>
      <c r="Z72" s="303"/>
    </row>
    <row r="73" spans="1:26" x14ac:dyDescent="0.35">
      <c r="O73" s="303"/>
      <c r="P73" s="303"/>
      <c r="Q73" s="303"/>
      <c r="R73" s="303"/>
      <c r="S73" s="303"/>
      <c r="T73" s="303"/>
      <c r="U73" s="303"/>
      <c r="V73" s="303"/>
      <c r="W73" s="303"/>
      <c r="X73" s="303"/>
      <c r="Y73" s="303"/>
      <c r="Z73" s="303"/>
    </row>
    <row r="74" spans="1:26" x14ac:dyDescent="0.35">
      <c r="O74" s="303"/>
      <c r="P74" s="303"/>
      <c r="Q74" s="303"/>
      <c r="R74" s="303"/>
      <c r="S74" s="303"/>
      <c r="T74" s="303"/>
      <c r="U74" s="303"/>
      <c r="V74" s="303"/>
      <c r="W74" s="303"/>
      <c r="X74" s="303"/>
      <c r="Y74" s="303"/>
      <c r="Z74" s="303"/>
    </row>
    <row r="75" spans="1:26" x14ac:dyDescent="0.35">
      <c r="O75" s="303"/>
      <c r="P75" s="303"/>
      <c r="Q75" s="303"/>
      <c r="R75" s="303"/>
      <c r="S75" s="303"/>
      <c r="T75" s="303"/>
      <c r="U75" s="303"/>
      <c r="V75" s="303"/>
      <c r="W75" s="303"/>
      <c r="X75" s="303"/>
      <c r="Y75" s="303"/>
      <c r="Z75" s="303"/>
    </row>
    <row r="76" spans="1:26" x14ac:dyDescent="0.35">
      <c r="O76" s="303"/>
      <c r="P76" s="303"/>
      <c r="Q76" s="303"/>
      <c r="R76" s="303"/>
      <c r="S76" s="303"/>
      <c r="T76" s="303"/>
      <c r="U76" s="303"/>
      <c r="V76" s="303"/>
      <c r="W76" s="303"/>
      <c r="X76" s="303"/>
      <c r="Y76" s="303"/>
      <c r="Z76" s="303"/>
    </row>
    <row r="77" spans="1:26" x14ac:dyDescent="0.35">
      <c r="O77" s="303"/>
      <c r="P77" s="303"/>
      <c r="Q77" s="303"/>
      <c r="R77" s="303"/>
      <c r="S77" s="303"/>
      <c r="T77" s="303"/>
      <c r="U77" s="303"/>
      <c r="V77" s="303"/>
      <c r="W77" s="303"/>
      <c r="X77" s="303"/>
      <c r="Y77" s="303"/>
      <c r="Z77" s="303"/>
    </row>
    <row r="78" spans="1:26" x14ac:dyDescent="0.35">
      <c r="O78" s="303"/>
      <c r="P78" s="303"/>
      <c r="Q78" s="303"/>
      <c r="R78" s="303"/>
      <c r="S78" s="303"/>
      <c r="T78" s="303"/>
      <c r="U78" s="303"/>
      <c r="V78" s="303"/>
      <c r="W78" s="303"/>
      <c r="X78" s="303"/>
      <c r="Y78" s="303"/>
      <c r="Z78" s="303"/>
    </row>
    <row r="79" spans="1:26" x14ac:dyDescent="0.35">
      <c r="O79" s="303"/>
      <c r="P79" s="303"/>
      <c r="Q79" s="303"/>
      <c r="R79" s="303"/>
      <c r="S79" s="303"/>
      <c r="T79" s="303"/>
      <c r="U79" s="303"/>
      <c r="V79" s="303"/>
      <c r="W79" s="303"/>
      <c r="X79" s="303"/>
      <c r="Y79" s="303"/>
      <c r="Z79" s="303"/>
    </row>
    <row r="80" spans="1:26" x14ac:dyDescent="0.35">
      <c r="O80" s="303"/>
      <c r="P80" s="303"/>
      <c r="Q80" s="303"/>
      <c r="R80" s="303"/>
      <c r="S80" s="303"/>
      <c r="T80" s="303"/>
      <c r="U80" s="303"/>
      <c r="V80" s="303"/>
      <c r="W80" s="303"/>
      <c r="X80" s="303"/>
      <c r="Y80" s="303"/>
      <c r="Z80" s="303"/>
    </row>
    <row r="81" spans="15:26" x14ac:dyDescent="0.35">
      <c r="O81" s="303"/>
      <c r="P81" s="303"/>
      <c r="Q81" s="303"/>
      <c r="R81" s="303"/>
      <c r="S81" s="303"/>
      <c r="T81" s="303"/>
      <c r="U81" s="303"/>
      <c r="V81" s="303"/>
      <c r="W81" s="303"/>
      <c r="X81" s="303"/>
      <c r="Y81" s="303"/>
      <c r="Z81" s="303"/>
    </row>
    <row r="82" spans="15:26" x14ac:dyDescent="0.35">
      <c r="O82" s="303"/>
      <c r="P82" s="303"/>
      <c r="Q82" s="303"/>
      <c r="R82" s="303"/>
      <c r="S82" s="303"/>
      <c r="T82" s="303"/>
      <c r="U82" s="303"/>
      <c r="V82" s="303"/>
      <c r="W82" s="303"/>
      <c r="X82" s="303"/>
      <c r="Y82" s="303"/>
      <c r="Z82" s="303"/>
    </row>
    <row r="83" spans="15:26" x14ac:dyDescent="0.35">
      <c r="O83" s="303"/>
      <c r="P83" s="303"/>
      <c r="Q83" s="303"/>
      <c r="R83" s="303"/>
      <c r="S83" s="303"/>
      <c r="T83" s="303"/>
      <c r="U83" s="303"/>
      <c r="V83" s="303"/>
      <c r="W83" s="303"/>
      <c r="X83" s="303"/>
      <c r="Y83" s="303"/>
      <c r="Z83" s="303"/>
    </row>
    <row r="84" spans="15:26" x14ac:dyDescent="0.35">
      <c r="O84" s="303"/>
      <c r="P84" s="303"/>
      <c r="Q84" s="303"/>
      <c r="R84" s="303"/>
      <c r="S84" s="303"/>
      <c r="T84" s="303"/>
      <c r="U84" s="303"/>
      <c r="V84" s="303"/>
      <c r="W84" s="303"/>
      <c r="X84" s="303"/>
      <c r="Y84" s="303"/>
      <c r="Z84" s="303"/>
    </row>
  </sheetData>
  <mergeCells count="17">
    <mergeCell ref="O2:Q2"/>
    <mergeCell ref="R2:T2"/>
    <mergeCell ref="U2:W2"/>
    <mergeCell ref="X2:Z2"/>
    <mergeCell ref="F41:H41"/>
    <mergeCell ref="A46:A53"/>
    <mergeCell ref="F17:H17"/>
    <mergeCell ref="A30:A37"/>
    <mergeCell ref="A39:A44"/>
    <mergeCell ref="A21:A28"/>
    <mergeCell ref="A1:M1"/>
    <mergeCell ref="K3:M3"/>
    <mergeCell ref="F4:H11"/>
    <mergeCell ref="K4:M11"/>
    <mergeCell ref="A4:A19"/>
    <mergeCell ref="B12:B14"/>
    <mergeCell ref="K15:M19"/>
  </mergeCells>
  <pageMargins left="0" right="0" top="0.25" bottom="0" header="0.3" footer="0.3"/>
  <pageSetup scale="86" orientation="portrait" horizontalDpi="4294967293" verticalDpi="0" r:id="rId1"/>
  <headerFooter>
    <oddFooter>&amp;R&amp;D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tabSelected="1" workbookViewId="0">
      <selection activeCell="B4" sqref="B4:B5"/>
    </sheetView>
  </sheetViews>
  <sheetFormatPr defaultRowHeight="18.5" x14ac:dyDescent="0.45"/>
  <cols>
    <col min="1" max="1" width="20.6328125" style="1096" customWidth="1"/>
    <col min="2" max="2" width="12.6328125" style="1096" customWidth="1"/>
    <col min="3" max="3" width="1" style="1097" customWidth="1"/>
    <col min="4" max="7" width="12.6328125" style="1096" customWidth="1"/>
    <col min="8" max="16384" width="8.7265625" style="1096"/>
  </cols>
  <sheetData>
    <row r="1" spans="1:7" x14ac:dyDescent="0.45">
      <c r="A1" s="1095" t="s">
        <v>604</v>
      </c>
      <c r="B1" s="1095"/>
      <c r="C1" s="1095"/>
      <c r="D1" s="1095"/>
      <c r="E1" s="1095"/>
      <c r="F1" s="1095"/>
      <c r="G1" s="1095"/>
    </row>
    <row r="2" spans="1:7" ht="19" thickBot="1" x14ac:dyDescent="0.5"/>
    <row r="3" spans="1:7" ht="19" thickBot="1" x14ac:dyDescent="0.5">
      <c r="B3" s="1106" t="s">
        <v>609</v>
      </c>
      <c r="C3" s="1107"/>
      <c r="D3" s="1107"/>
      <c r="E3" s="1107"/>
      <c r="F3" s="1107"/>
      <c r="G3" s="1108"/>
    </row>
    <row r="4" spans="1:7" ht="21" x14ac:dyDescent="0.45">
      <c r="B4" s="1125" t="s">
        <v>611</v>
      </c>
      <c r="C4" s="1119"/>
      <c r="D4" s="1122" t="s">
        <v>610</v>
      </c>
      <c r="E4" s="1123"/>
      <c r="F4" s="1123"/>
      <c r="G4" s="1124"/>
    </row>
    <row r="5" spans="1:7" ht="19" thickBot="1" x14ac:dyDescent="0.5">
      <c r="A5" s="1109"/>
      <c r="B5" s="1126"/>
      <c r="C5" s="1119"/>
      <c r="D5" s="1112">
        <v>7.0000000000000007E-2</v>
      </c>
      <c r="E5" s="1104">
        <v>0.08</v>
      </c>
      <c r="F5" s="1104">
        <v>0.09</v>
      </c>
      <c r="G5" s="1113">
        <v>0.1</v>
      </c>
    </row>
    <row r="6" spans="1:7" x14ac:dyDescent="0.45">
      <c r="A6" s="1098" t="s">
        <v>605</v>
      </c>
      <c r="B6" s="1110">
        <f>+ROUND('Assoc. Pastor'!I55/2,0)</f>
        <v>44387</v>
      </c>
      <c r="C6" s="1120"/>
      <c r="D6" s="1114">
        <f>+'Assoc. Pastor'!Q55</f>
        <v>48618</v>
      </c>
      <c r="E6" s="1103">
        <f>+'Assoc. Pastor'!T55</f>
        <v>49043</v>
      </c>
      <c r="F6" s="1103">
        <f>+'Assoc. Pastor'!W55</f>
        <v>49466.5</v>
      </c>
      <c r="G6" s="1115">
        <f>+'Assoc. Pastor'!Z55</f>
        <v>49890.5</v>
      </c>
    </row>
    <row r="7" spans="1:7" ht="19" thickBot="1" x14ac:dyDescent="0.5">
      <c r="A7" s="1099" t="s">
        <v>606</v>
      </c>
      <c r="B7" s="1111"/>
      <c r="C7" s="1121"/>
      <c r="D7" s="1116">
        <f>+D6-$B6</f>
        <v>4231</v>
      </c>
      <c r="E7" s="1117">
        <f t="shared" ref="E7:G7" si="0">+E6-$B6</f>
        <v>4656</v>
      </c>
      <c r="F7" s="1117">
        <f t="shared" si="0"/>
        <v>5079.5</v>
      </c>
      <c r="G7" s="1118">
        <f t="shared" si="0"/>
        <v>5503.5</v>
      </c>
    </row>
    <row r="13" spans="1:7" ht="57.5" customHeight="1" x14ac:dyDescent="0.45">
      <c r="A13" s="1100" t="s">
        <v>607</v>
      </c>
      <c r="B13" s="1100"/>
      <c r="C13" s="1100"/>
      <c r="D13" s="1100"/>
      <c r="E13" s="1100"/>
      <c r="F13" s="1100"/>
      <c r="G13" s="1100"/>
    </row>
    <row r="14" spans="1:7" ht="19.5" customHeight="1" x14ac:dyDescent="0.45">
      <c r="A14" s="1101"/>
      <c r="B14" s="1101"/>
      <c r="C14" s="1105"/>
      <c r="D14" s="1101"/>
      <c r="E14" s="1101"/>
      <c r="F14" s="1101"/>
      <c r="G14" s="1101"/>
    </row>
    <row r="15" spans="1:7" ht="47.5" customHeight="1" x14ac:dyDescent="0.45">
      <c r="A15" s="1102" t="s">
        <v>608</v>
      </c>
      <c r="B15" s="1102"/>
      <c r="C15" s="1102"/>
      <c r="D15" s="1102"/>
      <c r="E15" s="1102"/>
      <c r="F15" s="1102"/>
      <c r="G15" s="1102"/>
    </row>
  </sheetData>
  <mergeCells count="6">
    <mergeCell ref="B4:B5"/>
    <mergeCell ref="A1:G1"/>
    <mergeCell ref="A13:G13"/>
    <mergeCell ref="A15:G15"/>
    <mergeCell ref="B3:G3"/>
    <mergeCell ref="D4: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15</vt:i4>
      </vt:variant>
      <vt:variant>
        <vt:lpstr>Charts</vt:lpstr>
      </vt:variant>
      <vt:variant>
        <vt:i4>1</vt:i4>
      </vt:variant>
      <vt:variant>
        <vt:lpstr>Named Ranges</vt:lpstr>
      </vt:variant>
      <vt:variant>
        <vt:i4>4</vt:i4>
      </vt:variant>
    </vt:vector>
  </HeadingPairs>
  <TitlesOfParts>
    <vt:vector size="20" baseType="lpstr">
      <vt:lpstr>Top Sheet</vt:lpstr>
      <vt:lpstr>Summary New Year</vt:lpstr>
      <vt:lpstr>Annual Report</vt:lpstr>
      <vt:lpstr>New Year-Full Year</vt:lpstr>
      <vt:lpstr>Analysis of Rates</vt:lpstr>
      <vt:lpstr>Pastor</vt:lpstr>
      <vt:lpstr>Comparison</vt:lpstr>
      <vt:lpstr>Assoc. Pastor</vt:lpstr>
      <vt:lpstr>2023 Est-P Kelly</vt:lpstr>
      <vt:lpstr>Band and Other Music</vt:lpstr>
      <vt:lpstr>Rates for Cheryl</vt:lpstr>
      <vt:lpstr>Expenses</vt:lpstr>
      <vt:lpstr>Benevolence</vt:lpstr>
      <vt:lpstr>Dec Council Meeting</vt:lpstr>
      <vt:lpstr>Options</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2022-01-23T04:37:56Z</cp:lastPrinted>
  <dcterms:created xsi:type="dcterms:W3CDTF">2011-12-01T18:07:46Z</dcterms:created>
  <dcterms:modified xsi:type="dcterms:W3CDTF">2022-05-01T22:31:41Z</dcterms:modified>
</cp:coreProperties>
</file>